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G:\Meu Drive\CALCULOS\CALCULA JA\"/>
    </mc:Choice>
  </mc:AlternateContent>
  <xr:revisionPtr revIDLastSave="0" documentId="13_ncr:1_{4F23EFE2-73A0-429E-A0E2-352863D282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CISÃO" sheetId="1" r:id="rId1"/>
    <sheet name="TABELAS" sheetId="2" r:id="rId2"/>
  </sheets>
  <definedNames>
    <definedName name="_xlnm.Print_Area" localSheetId="0">RESCISÃO!$A$1:$BG$47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2ay4Mrh6uCl+RwPdMUh+fOLNqLs+TuMWASA80WE09Pc="/>
    </ext>
  </extLst>
</workbook>
</file>

<file path=xl/calcChain.xml><?xml version="1.0" encoding="utf-8"?>
<calcChain xmlns="http://schemas.openxmlformats.org/spreadsheetml/2006/main">
  <c r="AS17" i="1" l="1"/>
  <c r="BA17" i="1"/>
  <c r="BB17" i="1"/>
  <c r="AD28" i="1"/>
  <c r="C24" i="2" l="1"/>
  <c r="BA45" i="1"/>
  <c r="AQ45" i="1"/>
  <c r="AQ44" i="1"/>
  <c r="BA43" i="1"/>
  <c r="BA44" i="1" s="1"/>
  <c r="BB44" i="1" s="1"/>
  <c r="AQ43" i="1"/>
  <c r="AT41" i="1"/>
  <c r="BD39" i="1"/>
  <c r="AR38" i="1"/>
  <c r="AS41" i="1" s="1"/>
  <c r="AR37" i="1"/>
  <c r="AQ35" i="1"/>
  <c r="BD34" i="1"/>
  <c r="BC34" i="1"/>
  <c r="BA34" i="1"/>
  <c r="AQ34" i="1"/>
  <c r="BD33" i="1"/>
  <c r="BC33" i="1"/>
  <c r="BA33" i="1"/>
  <c r="L33" i="1"/>
  <c r="O33" i="1" s="1"/>
  <c r="K43" i="1" s="1"/>
  <c r="BC32" i="1"/>
  <c r="BA32" i="1"/>
  <c r="AQ32" i="1"/>
  <c r="AQ33" i="1" s="1"/>
  <c r="L32" i="1"/>
  <c r="O32" i="1" s="1"/>
  <c r="B32" i="1"/>
  <c r="L31" i="1"/>
  <c r="O31" i="1" s="1"/>
  <c r="H31" i="1"/>
  <c r="AS30" i="1"/>
  <c r="AR30" i="1"/>
  <c r="AR29" i="1"/>
  <c r="L28" i="1"/>
  <c r="O28" i="1" s="1"/>
  <c r="BA27" i="1"/>
  <c r="AG27" i="1"/>
  <c r="L27" i="1"/>
  <c r="O27" i="1" s="1"/>
  <c r="BC26" i="1"/>
  <c r="BC27" i="1" s="1"/>
  <c r="BA26" i="1"/>
  <c r="BC25" i="1"/>
  <c r="BA25" i="1"/>
  <c r="BC24" i="1"/>
  <c r="BA24" i="1"/>
  <c r="L24" i="1"/>
  <c r="O24" i="1" s="1"/>
  <c r="BC23" i="1"/>
  <c r="BA23" i="1"/>
  <c r="L23" i="1"/>
  <c r="O23" i="1" s="1"/>
  <c r="AU21" i="1"/>
  <c r="AS21" i="1"/>
  <c r="AS20" i="1" s="1"/>
  <c r="AR21" i="1"/>
  <c r="BB20" i="1"/>
  <c r="BA20" i="1"/>
  <c r="AS19" i="1"/>
  <c r="AS2" i="1"/>
  <c r="W17" i="1"/>
  <c r="L34" i="1" s="1"/>
  <c r="BB16" i="1"/>
  <c r="BA16" i="1"/>
  <c r="AT13" i="1"/>
  <c r="AT14" i="1" s="1"/>
  <c r="AS15" i="1" s="1"/>
  <c r="AT15" i="1" s="1"/>
  <c r="AT16" i="1" s="1"/>
  <c r="AS12" i="1"/>
  <c r="AR14" i="1" s="1"/>
  <c r="AT12" i="1" s="1"/>
  <c r="AT11" i="1" s="1"/>
  <c r="AS13" i="1" s="1"/>
  <c r="AR12" i="1"/>
  <c r="AR11" i="1"/>
  <c r="AR13" i="1" s="1"/>
  <c r="AR8" i="1"/>
  <c r="AS3" i="1"/>
  <c r="AR3" i="1"/>
  <c r="AD27" i="1" s="1"/>
  <c r="AR45" i="1" l="1"/>
  <c r="AS45" i="1" s="1"/>
  <c r="AG28" i="1" s="1"/>
  <c r="AR44" i="1"/>
  <c r="AS44" i="1" s="1"/>
  <c r="AR43" i="1"/>
  <c r="AS29" i="1"/>
  <c r="AS28" i="1" s="1"/>
  <c r="AR22" i="1"/>
  <c r="AS22" i="1" s="1"/>
  <c r="AR25" i="1" s="1"/>
  <c r="AR32" i="1"/>
  <c r="AR28" i="1" s="1"/>
  <c r="AR39" i="1"/>
  <c r="AR41" i="1" s="1"/>
  <c r="BB18" i="1"/>
  <c r="AZ19" i="1"/>
  <c r="BA18" i="1"/>
  <c r="BA12" i="1"/>
  <c r="BB12" i="1" s="1"/>
  <c r="BA14" i="1"/>
  <c r="BA13" i="1"/>
  <c r="BB13" i="1" s="1"/>
  <c r="BA11" i="1"/>
  <c r="BB11" i="1" s="1"/>
  <c r="BC11" i="1" s="1"/>
  <c r="O34" i="1"/>
  <c r="K42" i="1" s="1"/>
  <c r="L26" i="1"/>
  <c r="BB43" i="1"/>
  <c r="BB45" i="1" s="1"/>
  <c r="AS27" i="1"/>
  <c r="AT27" i="1" s="1"/>
  <c r="K40" i="1"/>
  <c r="AS43" i="1" l="1"/>
  <c r="BA19" i="1"/>
  <c r="AS23" i="1" s="1"/>
  <c r="AS24" i="1" s="1"/>
  <c r="AS25" i="1" s="1"/>
  <c r="AS26" i="1" s="1"/>
  <c r="AQ23" i="1"/>
  <c r="AS31" i="1"/>
  <c r="AT28" i="1"/>
  <c r="K41" i="1"/>
  <c r="AQ42" i="1" s="1"/>
  <c r="K44" i="1" s="1"/>
  <c r="K45" i="1" s="1"/>
  <c r="BK17" i="1" s="1"/>
  <c r="AQ28" i="1"/>
  <c r="AQ30" i="1"/>
  <c r="AQ29" i="1"/>
  <c r="AR31" i="1"/>
  <c r="AS33" i="1" s="1"/>
  <c r="AR33" i="1" s="1"/>
  <c r="AR34" i="1" s="1"/>
  <c r="BA15" i="1"/>
  <c r="O26" i="1"/>
  <c r="O29" i="1" s="1"/>
  <c r="O30" i="1" s="1"/>
  <c r="L29" i="1"/>
  <c r="BB22" i="1" l="1"/>
  <c r="BC29" i="1" s="1"/>
  <c r="AD23" i="1" s="1"/>
  <c r="AR35" i="1"/>
  <c r="AS34" i="1"/>
  <c r="AQ36" i="1"/>
  <c r="AQ24" i="1"/>
  <c r="AQ27" i="1"/>
  <c r="AR27" i="1" s="1"/>
  <c r="AQ26" i="1" l="1"/>
  <c r="AQ25" i="1" s="1"/>
  <c r="BD38" i="1" s="1"/>
  <c r="L36" i="1"/>
  <c r="BC22" i="1"/>
  <c r="BC30" i="1" s="1"/>
  <c r="AR24" i="1" s="1"/>
  <c r="AT34" i="1"/>
  <c r="AR47" i="1"/>
  <c r="AR48" i="1" s="1"/>
  <c r="AQ47" i="1"/>
  <c r="AQ48" i="1" s="1"/>
  <c r="AR23" i="1" l="1"/>
  <c r="AG23" i="1" s="1"/>
  <c r="AG24" i="1"/>
  <c r="AD24" i="1"/>
  <c r="AQ49" i="1"/>
  <c r="AT36" i="1"/>
  <c r="AT37" i="1" s="1"/>
  <c r="AS37" i="1" s="1"/>
  <c r="AT33" i="1"/>
  <c r="AS35" i="1" s="1"/>
  <c r="AD36" i="1" l="1"/>
  <c r="L37" i="1" s="1"/>
  <c r="BK16" i="1" s="1"/>
  <c r="BD40" i="1"/>
  <c r="BD41" i="1" s="1"/>
  <c r="BA36" i="1" s="1"/>
  <c r="BC36" i="1" s="1"/>
  <c r="BD42" i="1" s="1"/>
  <c r="AT35" i="1"/>
  <c r="AS36" i="1"/>
  <c r="BD36" i="1" l="1"/>
  <c r="BD4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12" authorId="0" shapeId="0" xr:uid="{00000000-0006-0000-0000-000001000000}">
      <text>
        <r>
          <rPr>
            <sz val="10"/>
            <color rgb="FF000000"/>
            <rFont val="Arial"/>
            <scheme val="minor"/>
          </rPr>
          <t>======
ID#AAABwK5eodU
    (2025-11-16 12:44:17)
MOTIVO DA RESCISÃO DE CONTRATO</t>
        </r>
      </text>
    </comment>
    <comment ref="B16" authorId="0" shapeId="0" xr:uid="{00000000-0006-0000-0000-000003000000}">
      <text>
        <r>
          <rPr>
            <sz val="10"/>
            <color rgb="FF000000"/>
            <rFont val="Arial"/>
            <scheme val="minor"/>
          </rPr>
          <t>======
ID#AAABwK5eodM
    (2025-11-16 12:44:17)
DATA DE ADMISSÃO</t>
        </r>
      </text>
    </comment>
    <comment ref="I16" authorId="0" shapeId="0" xr:uid="{00000000-0006-0000-0000-00000C000000}">
      <text>
        <r>
          <rPr>
            <sz val="10"/>
            <color rgb="FF000000"/>
            <rFont val="Arial"/>
            <scheme val="minor"/>
          </rPr>
          <t>======
ID#AAABwK5eocg
    (2025-11-16 12:44:17)
DATA DE DEMISSÃO</t>
        </r>
      </text>
    </comment>
    <comment ref="P16" authorId="0" shapeId="0" xr:uid="{00000000-0006-0000-0000-00000E000000}">
      <text>
        <r>
          <rPr>
            <sz val="10"/>
            <color rgb="FF000000"/>
            <rFont val="Arial"/>
            <scheme val="minor"/>
          </rPr>
          <t>======
ID#AAABwK5eoco
    (2025-11-16 12:44:17)
SALÁRIO BASE</t>
        </r>
      </text>
    </comment>
    <comment ref="W16" authorId="0" shapeId="0" xr:uid="{00000000-0006-0000-0000-000002000000}">
      <text>
        <r>
          <rPr>
            <sz val="10"/>
            <color rgb="FF000000"/>
            <rFont val="Arial"/>
            <scheme val="minor"/>
          </rPr>
          <t>======
ID#AAABwK5eodI
    (2025-11-16 12:44:17)
MÉDIAS DE HORAS EXTRAS</t>
        </r>
      </text>
    </comment>
    <comment ref="AD16" authorId="0" shapeId="0" xr:uid="{00000000-0006-0000-0000-00000A000000}">
      <text>
        <r>
          <rPr>
            <sz val="10"/>
            <color rgb="FF000000"/>
            <rFont val="Arial"/>
            <scheme val="minor"/>
          </rPr>
          <t>======
ID#AAABwK5eocw
    (2025-11-16 12:44:17)
TIPOS DE AVISO PRÉVIO</t>
        </r>
      </text>
    </comment>
    <comment ref="B19" authorId="0" shapeId="0" xr:uid="{00000000-0006-0000-0000-000007000000}">
      <text>
        <r>
          <rPr>
            <sz val="10"/>
            <color rgb="FF000000"/>
            <rFont val="Arial"/>
            <scheme val="minor"/>
          </rPr>
          <t>======
ID#AAABwK5eoc0
    (2025-11-16 12:44:17)
DATA DE DEMISSÃO</t>
        </r>
      </text>
    </comment>
    <comment ref="I19" authorId="0" shapeId="0" xr:uid="{00000000-0006-0000-0000-000006000000}">
      <text>
        <r>
          <rPr>
            <sz val="10"/>
            <color rgb="FF000000"/>
            <rFont val="Arial"/>
            <scheme val="minor"/>
          </rPr>
          <t>======
ID#AAABwK5eodE
    (2025-11-16 12:44:17)
INFORMAR A PORCENTAGEM DE HORAS EXTRAS NORMAIS</t>
        </r>
      </text>
    </comment>
    <comment ref="M19" authorId="0" shapeId="0" xr:uid="{00000000-0006-0000-0000-000008000000}">
      <text>
        <r>
          <rPr>
            <sz val="10"/>
            <color rgb="FF000000"/>
            <rFont val="Arial"/>
            <scheme val="minor"/>
          </rPr>
          <t>======
ID#AAABwK5eocs
    (2025-11-16 12:44:17)
QUANTIDADE DE HORAS EXTRAS NORMAIS</t>
        </r>
      </text>
    </comment>
    <comment ref="T19" authorId="0" shapeId="0" xr:uid="{00000000-0006-0000-0000-000005000000}">
      <text>
        <r>
          <rPr>
            <sz val="10"/>
            <color rgb="FF000000"/>
            <rFont val="Arial"/>
            <scheme val="minor"/>
          </rPr>
          <t>======
ID#AAABwK5eodA
    (2025-11-16 12:44:17)
QUANTIDADE DE HORAS EXTRAS 100%</t>
        </r>
      </text>
    </comment>
    <comment ref="AA19" authorId="0" shapeId="0" xr:uid="{00000000-0006-0000-0000-00000D000000}">
      <text>
        <r>
          <rPr>
            <sz val="10"/>
            <color rgb="FF000000"/>
            <rFont val="Arial"/>
            <scheme val="minor"/>
          </rPr>
          <t>======
ID#AAABwK5eock
    (2025-11-16 12:44:17)
QUANTIDADE DE HORAS DE ATRASOS/FALTAS</t>
        </r>
      </text>
    </comment>
    <comment ref="AH19" authorId="0" shapeId="0" xr:uid="{00000000-0006-0000-0000-000009000000}">
      <text>
        <r>
          <rPr>
            <sz val="10"/>
            <color rgb="FF000000"/>
            <rFont val="Arial"/>
            <scheme val="minor"/>
          </rPr>
          <t>======
ID#AAABwK5eoc4
    (2025-11-16 12:44:17)
QUANTIDADE DE DEPENDENTES PARA O IMPOSTO DE RENDA</t>
        </r>
      </text>
    </comment>
    <comment ref="U37" authorId="0" shapeId="0" xr:uid="{00000000-0006-0000-0000-000004000000}">
      <text>
        <r>
          <rPr>
            <sz val="10"/>
            <color rgb="FF000000"/>
            <rFont val="Arial"/>
            <scheme val="minor"/>
          </rPr>
          <t>======
ID#AAABwK5eodQ
    (2025-11-16 12:44:17)
DATA LIMITE PARA PAGAMENTO DA RESCISÃO</t>
        </r>
      </text>
    </comment>
    <comment ref="U45" authorId="0" shapeId="0" xr:uid="{00000000-0006-0000-0000-00000B000000}">
      <text>
        <r>
          <rPr>
            <sz val="10"/>
            <color rgb="FF000000"/>
            <rFont val="Arial"/>
            <scheme val="minor"/>
          </rPr>
          <t>======
ID#AAABwK5eoc8
    (2025-11-16 12:44:17)
DATA LIMITE PARA PAGAMENTO DA GRFC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7JlAO0yeqKI5oklZRrRraJ4JSsA=="/>
    </ext>
  </extLst>
</comments>
</file>

<file path=xl/sharedStrings.xml><?xml version="1.0" encoding="utf-8"?>
<sst xmlns="http://schemas.openxmlformats.org/spreadsheetml/2006/main" count="118" uniqueCount="84">
  <si>
    <t>(DOM)</t>
  </si>
  <si>
    <t>PLANILHA DE SIMULAÇÃO DE RESCISÃO</t>
  </si>
  <si>
    <t>MOT</t>
  </si>
  <si>
    <t>INDENIZADO</t>
  </si>
  <si>
    <t>(SEG)</t>
  </si>
  <si>
    <t>AP</t>
  </si>
  <si>
    <t>TRABALHADO</t>
  </si>
  <si>
    <t>(TER)</t>
  </si>
  <si>
    <t>Ñ TRABALHADO</t>
  </si>
  <si>
    <t>(QUA)</t>
  </si>
  <si>
    <t xml:space="preserve">EMPRESA.....: </t>
  </si>
  <si>
    <t>NÃO</t>
  </si>
  <si>
    <t>(QUI)</t>
  </si>
  <si>
    <t>SIM</t>
  </si>
  <si>
    <t>(SEX)</t>
  </si>
  <si>
    <t xml:space="preserve">FUNCIONÁRIO.: </t>
  </si>
  <si>
    <t>(SÁB)</t>
  </si>
  <si>
    <t>MOTIVO......:</t>
  </si>
  <si>
    <t>OBS: Os campos em laranja são de multipla escolha, basta marcar a opção correta.</t>
  </si>
  <si>
    <t>ADMISSÃO</t>
  </si>
  <si>
    <t>DEMISSÃO</t>
  </si>
  <si>
    <t>REMUNERAÇÃO</t>
  </si>
  <si>
    <t>TOTAL DE MESES</t>
  </si>
  <si>
    <t>AVISO PRÉVIO</t>
  </si>
  <si>
    <t>FÉRIAS VENCIDAS?</t>
  </si>
  <si>
    <t>% H.E.</t>
  </si>
  <si>
    <t>QUANTIDADE</t>
  </si>
  <si>
    <t>HORA EXTRA 100%</t>
  </si>
  <si>
    <t>ATRASOS/FALTAS</t>
  </si>
  <si>
    <t>DEPEND.</t>
  </si>
  <si>
    <t>PROVENTOS</t>
  </si>
  <si>
    <t>DESCONTOS</t>
  </si>
  <si>
    <t>SALDO DE SALÁRIO</t>
  </si>
  <si>
    <t>INSS S/ SALÁRIOS</t>
  </si>
  <si>
    <t>13º SALÁRIO PROP.</t>
  </si>
  <si>
    <t>INSS S/ 13º SALÁRIO</t>
  </si>
  <si>
    <t>13º SAL. VARIÁVEL</t>
  </si>
  <si>
    <t>I.R.R.F.</t>
  </si>
  <si>
    <t>13º SAL. INDENIZADO</t>
  </si>
  <si>
    <t>ADIANTAMENTOS</t>
  </si>
  <si>
    <t>-</t>
  </si>
  <si>
    <t>FÉRIAS VENCIDAS</t>
  </si>
  <si>
    <t>FÉRIAS PROPORCIONAIS</t>
  </si>
  <si>
    <t>FALTAS/ATRASOS</t>
  </si>
  <si>
    <t>FÉRIAS INDENIZADAS</t>
  </si>
  <si>
    <t>1/3 S/ FÉRIAS</t>
  </si>
  <si>
    <t>01/03</t>
  </si>
  <si>
    <t xml:space="preserve">HORA EXTRA </t>
  </si>
  <si>
    <t>AVISO PRÉVIO INDEN.</t>
  </si>
  <si>
    <t>DIAS EXTRAS AVIS. PREV.</t>
  </si>
  <si>
    <t>TOTAL DE VENCIMENTOS</t>
  </si>
  <si>
    <t>TOTAL DE DESCONTOS</t>
  </si>
  <si>
    <t>SEGURO</t>
  </si>
  <si>
    <t>CÁLCULO DE MULTA DO FGTS</t>
  </si>
  <si>
    <t>Dep</t>
  </si>
  <si>
    <t>FGTS DEPOSITADO</t>
  </si>
  <si>
    <t>INSS</t>
  </si>
  <si>
    <t>MULTA 40% FGTS</t>
  </si>
  <si>
    <t>FGTS (VENCIMENTOS)</t>
  </si>
  <si>
    <t>FGTS (AVISO PRÉVIO)</t>
  </si>
  <si>
    <t>TOTAL CONTA FGTS</t>
  </si>
  <si>
    <t>TOTAL A RECEBER</t>
  </si>
  <si>
    <r>
      <rPr>
        <i/>
        <sz val="10"/>
        <color theme="1"/>
        <rFont val="Courier New"/>
      </rPr>
      <t xml:space="preserve">ATENÇÃO: VALORES SUJEITOS A VARIAÇÕES - </t>
    </r>
    <r>
      <rPr>
        <b/>
        <i/>
        <sz val="10"/>
        <color theme="1"/>
        <rFont val="Courier New"/>
      </rPr>
      <t>PEDIDO DE DEMISSÃO NÃO SACA FGTS</t>
    </r>
  </si>
  <si>
    <t>PEDIDO DE DEMISSÃO POR INCIATIVA DO EMPREGADO</t>
  </si>
  <si>
    <t>TÉRMINO DE CONTRATO DE TRABALHO A TERMO</t>
  </si>
  <si>
    <t>IMPORTANTE: AS TABELAS DEVEM ESTAR ATUALIZADAS!</t>
  </si>
  <si>
    <t>I.N.S.S.</t>
  </si>
  <si>
    <t>DE</t>
  </si>
  <si>
    <t>ATÉ</t>
  </si>
  <si>
    <t>ALÍQUOTA</t>
  </si>
  <si>
    <t>ACIMA DE</t>
  </si>
  <si>
    <t>IMPOSTO DE RENDA</t>
  </si>
  <si>
    <t>DEDUÇÃO</t>
  </si>
  <si>
    <t>DEDUÇÃO P/ DEPENDENTE</t>
  </si>
  <si>
    <t>SEGURO DESEMPREGO</t>
  </si>
  <si>
    <t>VALOR FIXO</t>
  </si>
  <si>
    <t>DISPENSA DO EMPREGADO SEM JUSTA CAUSA</t>
  </si>
  <si>
    <t>EMPRESTIMO 1</t>
  </si>
  <si>
    <t>EMPRESTIMO 2</t>
  </si>
  <si>
    <t>EMPRESTIMO 3</t>
  </si>
  <si>
    <t xml:space="preserve"> TOTAL RESCISÃO</t>
  </si>
  <si>
    <t>13º SALARIO PAGO</t>
  </si>
  <si>
    <t>RESCISAO</t>
  </si>
  <si>
    <t>FGTS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</si>
</sst>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dd/mm/yy"/>
    <numFmt numFmtId="165" formatCode="[hh]:mm"/>
    <numFmt numFmtId="166" formatCode="_(* #,##0.00_);_(* \(#,##0.00\);_(* &quot;-&quot;??_);_(@_)"/>
    <numFmt numFmtId="167" formatCode="00&quot;/&quot;00"/>
    <numFmt numFmtId="168" formatCode="0.0%"/>
  </numFmts>
  <fonts count="20">
    <font>
      <sz val="10"/>
      <color rgb="FF000000"/>
      <name val="Arial"/>
      <scheme val="minor"/>
    </font>
    <font>
      <sz val="10"/>
      <color theme="1"/>
      <name val="Courier New"/>
    </font>
    <font>
      <b/>
      <sz val="18"/>
      <color theme="0"/>
      <name val="Courier New"/>
    </font>
    <font>
      <sz val="10"/>
      <name val="Arial"/>
    </font>
    <font>
      <b/>
      <sz val="12"/>
      <color theme="1"/>
      <name val="Courier New"/>
    </font>
    <font>
      <i/>
      <sz val="10"/>
      <color theme="1"/>
      <name val="Courier New"/>
    </font>
    <font>
      <b/>
      <sz val="10"/>
      <color theme="1"/>
      <name val="Courier New"/>
    </font>
    <font>
      <sz val="12"/>
      <color theme="1"/>
      <name val="Courier New"/>
    </font>
    <font>
      <sz val="11"/>
      <color theme="1"/>
      <name val="Noto Sans Symbols"/>
    </font>
    <font>
      <sz val="11"/>
      <color theme="1"/>
      <name val="Courier New"/>
    </font>
    <font>
      <b/>
      <i/>
      <sz val="10"/>
      <color theme="1"/>
      <name val="Courier New"/>
    </font>
    <font>
      <sz val="8"/>
      <color theme="1"/>
      <name val="Noto Sans Symbols"/>
    </font>
    <font>
      <sz val="12"/>
      <color rgb="FF003366"/>
      <name val="Courier New"/>
    </font>
    <font>
      <b/>
      <sz val="14"/>
      <color rgb="FF808080"/>
      <name val="Courier New"/>
    </font>
    <font>
      <sz val="12"/>
      <color rgb="FF333333"/>
      <name val="Courier New"/>
    </font>
    <font>
      <b/>
      <sz val="12"/>
      <color rgb="FF333333"/>
      <name val="Courier New"/>
    </font>
    <font>
      <b/>
      <sz val="20"/>
      <color theme="1"/>
      <name val="Courier New"/>
    </font>
    <font>
      <sz val="10"/>
      <color rgb="FF000000"/>
      <name val="Arial"/>
      <scheme val="minor"/>
    </font>
    <font>
      <sz val="10"/>
      <name val="Courier New"/>
      <family val="3"/>
    </font>
    <font>
      <b/>
      <sz val="10"/>
      <color theme="1"/>
      <name val="Courier New"/>
      <family val="3"/>
    </font>
  </fonts>
  <fills count="10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C000"/>
        <bgColor rgb="FFFFC000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rgb="FF99CCFF"/>
        <bgColor rgb="FF99CCFF"/>
      </patternFill>
    </fill>
    <fill>
      <patternFill patternType="solid">
        <fgColor rgb="FF969696"/>
        <bgColor rgb="FF969696"/>
      </patternFill>
    </fill>
  </fills>
  <borders count="7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hair">
        <color rgb="FF000000"/>
      </bottom>
      <diagonal/>
    </border>
    <border>
      <left/>
      <right/>
      <top style="thin">
        <color rgb="FF808080"/>
      </top>
      <bottom style="hair">
        <color rgb="FF000000"/>
      </bottom>
      <diagonal/>
    </border>
    <border>
      <left/>
      <right style="hair">
        <color rgb="FF000000"/>
      </right>
      <top style="thin">
        <color rgb="FF808080"/>
      </top>
      <bottom style="hair">
        <color rgb="FF000000"/>
      </bottom>
      <diagonal/>
    </border>
    <border>
      <left style="hair">
        <color rgb="FF000000"/>
      </left>
      <right/>
      <top style="thin">
        <color rgb="FF808080"/>
      </top>
      <bottom style="hair">
        <color rgb="FF000000"/>
      </bottom>
      <diagonal/>
    </border>
    <border>
      <left/>
      <right style="thin">
        <color rgb="FF808080"/>
      </right>
      <top style="thin">
        <color rgb="FF808080"/>
      </top>
      <bottom style="hair">
        <color rgb="FF000000"/>
      </bottom>
      <diagonal/>
    </border>
    <border>
      <left style="thin">
        <color rgb="FF80808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808080"/>
      </right>
      <top style="hair">
        <color rgb="FF000000"/>
      </top>
      <bottom style="hair">
        <color rgb="FF000000"/>
      </bottom>
      <diagonal/>
    </border>
    <border>
      <left style="thin">
        <color rgb="FF808080"/>
      </left>
      <right/>
      <top style="hair">
        <color rgb="FF000000"/>
      </top>
      <bottom style="thin">
        <color rgb="FF808080"/>
      </bottom>
      <diagonal/>
    </border>
    <border>
      <left/>
      <right/>
      <top style="hair">
        <color rgb="FF000000"/>
      </top>
      <bottom style="thin">
        <color rgb="FF808080"/>
      </bottom>
      <diagonal/>
    </border>
    <border>
      <left/>
      <right style="hair">
        <color rgb="FF000000"/>
      </right>
      <top style="hair">
        <color rgb="FF000000"/>
      </top>
      <bottom style="thin">
        <color rgb="FF808080"/>
      </bottom>
      <diagonal/>
    </border>
    <border>
      <left style="hair">
        <color rgb="FF000000"/>
      </left>
      <right/>
      <top style="hair">
        <color rgb="FF000000"/>
      </top>
      <bottom style="thin">
        <color rgb="FF808080"/>
      </bottom>
      <diagonal/>
    </border>
    <border>
      <left/>
      <right style="thin">
        <color rgb="FF808080"/>
      </right>
      <top style="hair">
        <color rgb="FF000000"/>
      </top>
      <bottom style="thin">
        <color rgb="FF808080"/>
      </bottom>
      <diagonal/>
    </border>
    <border>
      <left style="hair">
        <color rgb="FF000000"/>
      </left>
      <right/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hair">
        <color rgb="FF000000"/>
      </left>
      <right/>
      <top style="thin">
        <color rgb="FF808080"/>
      </top>
      <bottom style="thin">
        <color rgb="FF808080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000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 style="thin">
        <color rgb="FF808080"/>
      </top>
      <bottom style="hair">
        <color rgb="FF000000"/>
      </bottom>
      <diagonal/>
    </border>
    <border>
      <left/>
      <right style="thin">
        <color rgb="FF000000"/>
      </right>
      <top style="thin">
        <color rgb="FF80808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medium">
        <color rgb="FF808080"/>
      </top>
      <bottom style="thin">
        <color rgb="FF000000"/>
      </bottom>
      <diagonal/>
    </border>
    <border>
      <left/>
      <right/>
      <top style="medium">
        <color rgb="FF808080"/>
      </top>
      <bottom style="thin">
        <color rgb="FF000000"/>
      </bottom>
      <diagonal/>
    </border>
    <border>
      <left/>
      <right/>
      <top style="medium">
        <color rgb="FF808080"/>
      </top>
      <bottom style="thin">
        <color rgb="FF000000"/>
      </bottom>
      <diagonal/>
    </border>
    <border>
      <left/>
      <right/>
      <top style="medium">
        <color rgb="FF808080"/>
      </top>
      <bottom style="thin">
        <color rgb="FF000000"/>
      </bottom>
      <diagonal/>
    </border>
    <border>
      <left/>
      <right style="thin">
        <color rgb="FF000000"/>
      </right>
      <top style="medium">
        <color rgb="FF808080"/>
      </top>
      <bottom style="thin">
        <color rgb="FF000000"/>
      </bottom>
      <diagonal/>
    </border>
    <border>
      <left/>
      <right style="thin">
        <color rgb="FF333333"/>
      </right>
      <top/>
      <bottom/>
      <diagonal/>
    </border>
    <border>
      <left/>
      <right/>
      <top style="thin">
        <color rgb="FF333333"/>
      </top>
      <bottom/>
      <diagonal/>
    </border>
    <border>
      <left/>
      <right style="thin">
        <color rgb="FFFFFFFF"/>
      </right>
      <top style="thin">
        <color rgb="FF333333"/>
      </top>
      <bottom/>
      <diagonal/>
    </border>
    <border>
      <left style="thin">
        <color rgb="FF333333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/>
      <top/>
      <bottom/>
      <diagonal/>
    </border>
    <border>
      <left style="thin">
        <color rgb="FF333333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333333"/>
      </left>
      <right/>
      <top style="thin">
        <color rgb="FF333333"/>
      </top>
      <bottom/>
      <diagonal/>
    </border>
    <border>
      <left style="hair">
        <color indexed="64"/>
      </left>
      <right style="hair">
        <color indexed="64"/>
      </right>
      <top style="thin">
        <color indexed="23"/>
      </top>
      <bottom style="hair">
        <color indexed="64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23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175">
    <xf numFmtId="0" fontId="0" fillId="0" borderId="0" xfId="0"/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4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168" fontId="1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166" fontId="1" fillId="0" borderId="0" xfId="0" applyNumberFormat="1" applyFont="1" applyAlignment="1">
      <alignment vertical="center"/>
    </xf>
    <xf numFmtId="20" fontId="1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vertical="center"/>
    </xf>
    <xf numFmtId="166" fontId="12" fillId="0" borderId="0" xfId="0" applyNumberFormat="1" applyFont="1" applyAlignment="1">
      <alignment horizontal="center" vertical="center"/>
    </xf>
    <xf numFmtId="166" fontId="14" fillId="0" borderId="0" xfId="0" applyNumberFormat="1" applyFont="1" applyAlignment="1">
      <alignment horizontal="center" vertical="center"/>
    </xf>
    <xf numFmtId="166" fontId="7" fillId="0" borderId="64" xfId="0" applyNumberFormat="1" applyFont="1" applyBorder="1" applyAlignment="1">
      <alignment horizontal="center" vertical="center"/>
    </xf>
    <xf numFmtId="166" fontId="7" fillId="0" borderId="65" xfId="0" applyNumberFormat="1" applyFont="1" applyBorder="1" applyAlignment="1">
      <alignment horizontal="center" vertical="center"/>
    </xf>
    <xf numFmtId="166" fontId="14" fillId="0" borderId="65" xfId="0" applyNumberFormat="1" applyFont="1" applyBorder="1" applyAlignment="1">
      <alignment horizontal="center" vertical="center"/>
    </xf>
    <xf numFmtId="166" fontId="7" fillId="0" borderId="66" xfId="0" applyNumberFormat="1" applyFont="1" applyBorder="1" applyAlignment="1">
      <alignment horizontal="center" vertical="center"/>
    </xf>
    <xf numFmtId="166" fontId="7" fillId="0" borderId="67" xfId="0" applyNumberFormat="1" applyFont="1" applyBorder="1" applyAlignment="1">
      <alignment horizontal="center" vertical="center"/>
    </xf>
    <xf numFmtId="166" fontId="7" fillId="0" borderId="68" xfId="0" applyNumberFormat="1" applyFont="1" applyBorder="1" applyAlignment="1">
      <alignment horizontal="center" vertical="center"/>
    </xf>
    <xf numFmtId="166" fontId="15" fillId="8" borderId="69" xfId="0" applyNumberFormat="1" applyFont="1" applyFill="1" applyBorder="1" applyAlignment="1">
      <alignment horizontal="center" vertical="center"/>
    </xf>
    <xf numFmtId="166" fontId="15" fillId="9" borderId="69" xfId="0" applyNumberFormat="1" applyFont="1" applyFill="1" applyBorder="1" applyAlignment="1">
      <alignment horizontal="center" vertical="center"/>
    </xf>
    <xf numFmtId="10" fontId="15" fillId="9" borderId="69" xfId="0" applyNumberFormat="1" applyFont="1" applyFill="1" applyBorder="1" applyAlignment="1">
      <alignment horizontal="center" vertical="center"/>
    </xf>
    <xf numFmtId="166" fontId="15" fillId="7" borderId="69" xfId="0" applyNumberFormat="1" applyFont="1" applyFill="1" applyBorder="1" applyAlignment="1">
      <alignment horizontal="center" vertical="center"/>
    </xf>
    <xf numFmtId="166" fontId="15" fillId="6" borderId="69" xfId="0" applyNumberFormat="1" applyFont="1" applyFill="1" applyBorder="1" applyAlignment="1">
      <alignment horizontal="center" vertical="center"/>
    </xf>
    <xf numFmtId="10" fontId="15" fillId="6" borderId="69" xfId="0" applyNumberFormat="1" applyFont="1" applyFill="1" applyBorder="1" applyAlignment="1">
      <alignment horizontal="center" vertical="center"/>
    </xf>
    <xf numFmtId="166" fontId="15" fillId="0" borderId="0" xfId="0" applyNumberFormat="1" applyFont="1" applyAlignment="1">
      <alignment horizontal="center" vertical="center"/>
    </xf>
    <xf numFmtId="166" fontId="7" fillId="0" borderId="70" xfId="0" applyNumberFormat="1" applyFont="1" applyBorder="1" applyAlignment="1">
      <alignment horizontal="center" vertical="center"/>
    </xf>
    <xf numFmtId="166" fontId="15" fillId="0" borderId="71" xfId="0" applyNumberFormat="1" applyFont="1" applyBorder="1" applyAlignment="1">
      <alignment horizontal="center" vertical="center"/>
    </xf>
    <xf numFmtId="166" fontId="7" fillId="0" borderId="72" xfId="0" applyNumberFormat="1" applyFont="1" applyBorder="1" applyAlignment="1">
      <alignment horizontal="center" vertical="center"/>
    </xf>
    <xf numFmtId="166" fontId="7" fillId="0" borderId="73" xfId="0" applyNumberFormat="1" applyFont="1" applyBorder="1" applyAlignment="1">
      <alignment horizontal="center" vertical="center"/>
    </xf>
    <xf numFmtId="9" fontId="15" fillId="8" borderId="69" xfId="0" applyNumberFormat="1" applyFont="1" applyFill="1" applyBorder="1" applyAlignment="1">
      <alignment horizontal="center" vertical="center"/>
    </xf>
    <xf numFmtId="9" fontId="15" fillId="7" borderId="69" xfId="0" applyNumberFormat="1" applyFont="1" applyFill="1" applyBorder="1" applyAlignment="1">
      <alignment horizontal="center" vertical="center"/>
    </xf>
    <xf numFmtId="168" fontId="15" fillId="8" borderId="69" xfId="0" applyNumberFormat="1" applyFont="1" applyFill="1" applyBorder="1" applyAlignment="1">
      <alignment horizontal="center" vertical="center"/>
    </xf>
    <xf numFmtId="166" fontId="4" fillId="0" borderId="71" xfId="0" applyNumberFormat="1" applyFont="1" applyBorder="1" applyAlignment="1">
      <alignment horizontal="center" vertical="center"/>
    </xf>
    <xf numFmtId="0" fontId="15" fillId="8" borderId="69" xfId="0" applyFont="1" applyFill="1" applyBorder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0" fontId="15" fillId="0" borderId="71" xfId="0" applyFont="1" applyBorder="1" applyAlignment="1">
      <alignment horizontal="center" vertical="center"/>
    </xf>
    <xf numFmtId="0" fontId="19" fillId="0" borderId="78" xfId="0" applyFont="1" applyBorder="1" applyAlignment="1">
      <alignment horizontal="center" vertical="center"/>
    </xf>
    <xf numFmtId="166" fontId="19" fillId="0" borderId="78" xfId="0" applyNumberFormat="1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9" fontId="1" fillId="4" borderId="27" xfId="0" applyNumberFormat="1" applyFont="1" applyFill="1" applyBorder="1" applyAlignment="1">
      <alignment vertical="center"/>
    </xf>
    <xf numFmtId="0" fontId="3" fillId="0" borderId="28" xfId="0" applyFont="1" applyBorder="1"/>
    <xf numFmtId="0" fontId="3" fillId="0" borderId="29" xfId="0" applyFont="1" applyBorder="1"/>
    <xf numFmtId="9" fontId="1" fillId="4" borderId="30" xfId="0" applyNumberFormat="1" applyFont="1" applyFill="1" applyBorder="1" applyAlignment="1">
      <alignment horizontal="center" vertical="center"/>
    </xf>
    <xf numFmtId="165" fontId="1" fillId="4" borderId="30" xfId="0" applyNumberFormat="1" applyFont="1" applyFill="1" applyBorder="1" applyAlignment="1">
      <alignment horizontal="center" vertical="center"/>
    </xf>
    <xf numFmtId="166" fontId="1" fillId="4" borderId="30" xfId="0" applyNumberFormat="1" applyFont="1" applyFill="1" applyBorder="1" applyAlignment="1">
      <alignment vertical="center"/>
    </xf>
    <xf numFmtId="0" fontId="3" fillId="0" borderId="31" xfId="0" applyFont="1" applyBorder="1"/>
    <xf numFmtId="0" fontId="1" fillId="0" borderId="27" xfId="0" applyFont="1" applyBorder="1" applyAlignment="1">
      <alignment vertical="center"/>
    </xf>
    <xf numFmtId="0" fontId="1" fillId="0" borderId="30" xfId="0" applyFont="1" applyBorder="1" applyAlignment="1">
      <alignment horizontal="center" vertical="center"/>
    </xf>
    <xf numFmtId="166" fontId="1" fillId="0" borderId="30" xfId="0" applyNumberFormat="1" applyFont="1" applyBorder="1" applyAlignment="1">
      <alignment vertical="center"/>
    </xf>
    <xf numFmtId="165" fontId="18" fillId="0" borderId="76" xfId="0" applyNumberFormat="1" applyFont="1" applyBorder="1" applyAlignment="1">
      <alignment horizontal="center" vertical="center"/>
    </xf>
    <xf numFmtId="43" fontId="18" fillId="0" borderId="76" xfId="1" applyFont="1" applyFill="1" applyBorder="1" applyAlignment="1" applyProtection="1">
      <alignment vertical="center"/>
    </xf>
    <xf numFmtId="43" fontId="18" fillId="0" borderId="77" xfId="1" applyFont="1" applyFill="1" applyBorder="1" applyAlignment="1" applyProtection="1">
      <alignment vertical="center"/>
    </xf>
    <xf numFmtId="0" fontId="1" fillId="4" borderId="27" xfId="0" applyFont="1" applyFill="1" applyBorder="1" applyAlignment="1">
      <alignment vertical="center"/>
    </xf>
    <xf numFmtId="0" fontId="1" fillId="4" borderId="30" xfId="0" applyFont="1" applyFill="1" applyBorder="1" applyAlignment="1">
      <alignment horizontal="center" vertical="center"/>
    </xf>
    <xf numFmtId="3" fontId="1" fillId="4" borderId="30" xfId="0" applyNumberFormat="1" applyFont="1" applyFill="1" applyBorder="1" applyAlignment="1">
      <alignment horizontal="center" vertical="center"/>
    </xf>
    <xf numFmtId="0" fontId="1" fillId="4" borderId="30" xfId="0" quotePrefix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/>
    <xf numFmtId="0" fontId="5" fillId="5" borderId="8" xfId="0" applyFont="1" applyFill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4" fillId="0" borderId="47" xfId="0" applyFont="1" applyBorder="1" applyAlignment="1">
      <alignment vertical="center"/>
    </xf>
    <xf numFmtId="0" fontId="3" fillId="0" borderId="48" xfId="0" applyFont="1" applyBorder="1"/>
    <xf numFmtId="0" fontId="3" fillId="0" borderId="49" xfId="0" applyFont="1" applyBorder="1"/>
    <xf numFmtId="0" fontId="10" fillId="0" borderId="50" xfId="0" applyFont="1" applyBorder="1" applyAlignment="1">
      <alignment vertical="center"/>
    </xf>
    <xf numFmtId="0" fontId="3" fillId="0" borderId="23" xfId="0" applyFont="1" applyBorder="1"/>
    <xf numFmtId="0" fontId="3" fillId="0" borderId="24" xfId="0" applyFont="1" applyBorder="1"/>
    <xf numFmtId="166" fontId="10" fillId="0" borderId="25" xfId="0" applyNumberFormat="1" applyFont="1" applyBorder="1" applyAlignment="1">
      <alignment vertical="center"/>
    </xf>
    <xf numFmtId="0" fontId="3" fillId="0" borderId="51" xfId="0" applyFont="1" applyBorder="1"/>
    <xf numFmtId="0" fontId="1" fillId="7" borderId="52" xfId="0" applyFont="1" applyFill="1" applyBorder="1" applyAlignment="1">
      <alignment vertical="center"/>
    </xf>
    <xf numFmtId="166" fontId="1" fillId="7" borderId="30" xfId="0" applyNumberFormat="1" applyFont="1" applyFill="1" applyBorder="1" applyAlignment="1">
      <alignment vertical="center"/>
    </xf>
    <xf numFmtId="0" fontId="3" fillId="0" borderId="53" xfId="0" applyFont="1" applyBorder="1"/>
    <xf numFmtId="0" fontId="1" fillId="0" borderId="52" xfId="0" applyFont="1" applyBorder="1" applyAlignment="1">
      <alignment vertical="center"/>
    </xf>
    <xf numFmtId="0" fontId="6" fillId="4" borderId="8" xfId="0" applyFont="1" applyFill="1" applyBorder="1" applyAlignment="1">
      <alignment vertical="center"/>
    </xf>
    <xf numFmtId="166" fontId="4" fillId="4" borderId="8" xfId="0" applyNumberFormat="1" applyFont="1" applyFill="1" applyBorder="1" applyAlignment="1">
      <alignment vertical="center"/>
    </xf>
    <xf numFmtId="0" fontId="10" fillId="0" borderId="54" xfId="0" applyFont="1" applyBorder="1" applyAlignment="1">
      <alignment vertical="center"/>
    </xf>
    <xf numFmtId="0" fontId="3" fillId="0" borderId="55" xfId="0" applyFont="1" applyBorder="1"/>
    <xf numFmtId="166" fontId="10" fillId="0" borderId="56" xfId="0" applyNumberFormat="1" applyFont="1" applyBorder="1" applyAlignment="1">
      <alignment vertical="center"/>
    </xf>
    <xf numFmtId="0" fontId="3" fillId="0" borderId="57" xfId="0" applyFont="1" applyBorder="1"/>
    <xf numFmtId="0" fontId="3" fillId="0" borderId="58" xfId="0" applyFont="1" applyBorder="1"/>
    <xf numFmtId="0" fontId="6" fillId="6" borderId="59" xfId="0" applyFont="1" applyFill="1" applyBorder="1" applyAlignment="1">
      <alignment vertical="center"/>
    </xf>
    <xf numFmtId="0" fontId="3" fillId="0" borderId="60" xfId="0" applyFont="1" applyBorder="1"/>
    <xf numFmtId="0" fontId="3" fillId="0" borderId="61" xfId="0" applyFont="1" applyBorder="1"/>
    <xf numFmtId="166" fontId="4" fillId="6" borderId="62" xfId="0" applyNumberFormat="1" applyFont="1" applyFill="1" applyBorder="1" applyAlignment="1">
      <alignment vertical="center"/>
    </xf>
    <xf numFmtId="0" fontId="3" fillId="0" borderId="63" xfId="0" applyFont="1" applyBorder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32" xfId="0" applyFont="1" applyBorder="1" applyAlignment="1">
      <alignment vertical="center"/>
    </xf>
    <xf numFmtId="0" fontId="3" fillId="0" borderId="33" xfId="0" applyFont="1" applyBorder="1"/>
    <xf numFmtId="0" fontId="3" fillId="0" borderId="34" xfId="0" applyFont="1" applyBorder="1"/>
    <xf numFmtId="0" fontId="1" fillId="0" borderId="35" xfId="0" applyFont="1" applyBorder="1" applyAlignment="1">
      <alignment horizontal="center" vertical="center"/>
    </xf>
    <xf numFmtId="166" fontId="1" fillId="0" borderId="35" xfId="0" applyNumberFormat="1" applyFont="1" applyBorder="1" applyAlignment="1">
      <alignment vertical="center"/>
    </xf>
    <xf numFmtId="0" fontId="3" fillId="0" borderId="36" xfId="0" applyFont="1" applyBorder="1"/>
    <xf numFmtId="0" fontId="1" fillId="0" borderId="19" xfId="0" applyFont="1" applyBorder="1" applyAlignment="1">
      <alignment vertical="center"/>
    </xf>
    <xf numFmtId="0" fontId="3" fillId="0" borderId="20" xfId="0" applyFont="1" applyBorder="1"/>
    <xf numFmtId="166" fontId="6" fillId="0" borderId="40" xfId="0" applyNumberFormat="1" applyFont="1" applyBorder="1" applyAlignment="1">
      <alignment vertical="center"/>
    </xf>
    <xf numFmtId="0" fontId="3" fillId="0" borderId="21" xfId="0" applyFont="1" applyBorder="1"/>
    <xf numFmtId="0" fontId="6" fillId="6" borderId="41" xfId="0" applyFont="1" applyFill="1" applyBorder="1" applyAlignment="1">
      <alignment vertical="center"/>
    </xf>
    <xf numFmtId="0" fontId="3" fillId="0" borderId="42" xfId="0" applyFont="1" applyBorder="1"/>
    <xf numFmtId="0" fontId="3" fillId="0" borderId="43" xfId="0" applyFont="1" applyBorder="1"/>
    <xf numFmtId="166" fontId="4" fillId="6" borderId="44" xfId="0" applyNumberFormat="1" applyFont="1" applyFill="1" applyBorder="1" applyAlignment="1">
      <alignment vertical="center"/>
    </xf>
    <xf numFmtId="0" fontId="3" fillId="0" borderId="45" xfId="0" applyFont="1" applyBorder="1"/>
    <xf numFmtId="166" fontId="9" fillId="0" borderId="0" xfId="0" applyNumberFormat="1" applyFont="1" applyAlignment="1">
      <alignment vertical="center"/>
    </xf>
    <xf numFmtId="0" fontId="1" fillId="5" borderId="11" xfId="0" applyFont="1" applyFill="1" applyBorder="1" applyAlignment="1">
      <alignment vertical="center"/>
    </xf>
    <xf numFmtId="0" fontId="3" fillId="0" borderId="12" xfId="0" applyFont="1" applyBorder="1"/>
    <xf numFmtId="166" fontId="6" fillId="5" borderId="37" xfId="0" applyNumberFormat="1" applyFont="1" applyFill="1" applyBorder="1" applyAlignment="1">
      <alignment vertical="center"/>
    </xf>
    <xf numFmtId="0" fontId="3" fillId="0" borderId="38" xfId="0" applyFont="1" applyBorder="1"/>
    <xf numFmtId="0" fontId="3" fillId="0" borderId="39" xfId="0" applyFont="1" applyBorder="1"/>
    <xf numFmtId="0" fontId="1" fillId="4" borderId="25" xfId="0" applyFont="1" applyFill="1" applyBorder="1" applyAlignment="1">
      <alignment horizontal="center" vertical="center"/>
    </xf>
    <xf numFmtId="166" fontId="1" fillId="4" borderId="25" xfId="0" applyNumberFormat="1" applyFont="1" applyFill="1" applyBorder="1" applyAlignment="1">
      <alignment vertical="center"/>
    </xf>
    <xf numFmtId="0" fontId="3" fillId="0" borderId="26" xfId="0" applyFont="1" applyBorder="1"/>
    <xf numFmtId="0" fontId="1" fillId="0" borderId="22" xfId="0" applyFont="1" applyBorder="1" applyAlignment="1">
      <alignment vertical="center"/>
    </xf>
    <xf numFmtId="10" fontId="18" fillId="0" borderId="74" xfId="2" applyNumberFormat="1" applyFont="1" applyFill="1" applyBorder="1" applyAlignment="1">
      <alignment horizontal="center" vertical="center"/>
    </xf>
    <xf numFmtId="43" fontId="18" fillId="0" borderId="74" xfId="1" applyFont="1" applyFill="1" applyBorder="1" applyAlignment="1">
      <alignment vertical="center"/>
    </xf>
    <xf numFmtId="43" fontId="18" fillId="0" borderId="75" xfId="1" applyFont="1" applyFill="1" applyBorder="1" applyAlignment="1">
      <alignment vertical="center"/>
    </xf>
    <xf numFmtId="1" fontId="1" fillId="4" borderId="30" xfId="0" applyNumberFormat="1" applyFont="1" applyFill="1" applyBorder="1" applyAlignment="1">
      <alignment horizontal="center" vertical="center"/>
    </xf>
    <xf numFmtId="10" fontId="18" fillId="0" borderId="76" xfId="2" applyNumberFormat="1" applyFont="1" applyFill="1" applyBorder="1" applyAlignment="1">
      <alignment horizontal="center" vertical="center"/>
    </xf>
    <xf numFmtId="43" fontId="18" fillId="0" borderId="76" xfId="1" applyFont="1" applyFill="1" applyBorder="1" applyAlignment="1">
      <alignment vertical="center"/>
    </xf>
    <xf numFmtId="43" fontId="18" fillId="0" borderId="77" xfId="1" applyFont="1" applyFill="1" applyBorder="1" applyAlignment="1">
      <alignment vertical="center"/>
    </xf>
    <xf numFmtId="0" fontId="1" fillId="4" borderId="22" xfId="0" applyFont="1" applyFill="1" applyBorder="1" applyAlignment="1">
      <alignment vertical="center"/>
    </xf>
    <xf numFmtId="167" fontId="1" fillId="4" borderId="30" xfId="0" applyNumberFormat="1" applyFont="1" applyFill="1" applyBorder="1" applyAlignment="1">
      <alignment horizontal="center" vertical="center"/>
    </xf>
    <xf numFmtId="168" fontId="1" fillId="0" borderId="30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13" xfId="0" applyFont="1" applyBorder="1"/>
    <xf numFmtId="0" fontId="3" fillId="0" borderId="7" xfId="0" applyFont="1" applyBorder="1"/>
    <xf numFmtId="0" fontId="3" fillId="0" borderId="15" xfId="0" applyFont="1" applyBorder="1"/>
    <xf numFmtId="3" fontId="4" fillId="0" borderId="14" xfId="0" applyNumberFormat="1" applyFont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3" fillId="0" borderId="17" xfId="0" applyFont="1" applyBorder="1"/>
    <xf numFmtId="0" fontId="3" fillId="0" borderId="18" xfId="0" applyFont="1" applyBorder="1"/>
    <xf numFmtId="9" fontId="4" fillId="0" borderId="14" xfId="0" applyNumberFormat="1" applyFont="1" applyBorder="1" applyAlignment="1">
      <alignment horizontal="center" vertical="center"/>
    </xf>
    <xf numFmtId="165" fontId="4" fillId="0" borderId="14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0" borderId="7" xfId="0" applyFont="1" applyBorder="1" applyAlignment="1">
      <alignment horizontal="left" vertical="center"/>
    </xf>
    <xf numFmtId="14" fontId="4" fillId="0" borderId="7" xfId="0" applyNumberFormat="1" applyFont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66" fontId="16" fillId="0" borderId="0" xfId="0" applyNumberFormat="1" applyFont="1" applyAlignment="1">
      <alignment horizontal="center" vertical="center"/>
    </xf>
    <xf numFmtId="166" fontId="13" fillId="0" borderId="0" xfId="0" applyNumberFormat="1" applyFont="1" applyAlignment="1">
      <alignment horizontal="left" vertical="center"/>
    </xf>
    <xf numFmtId="166" fontId="13" fillId="0" borderId="65" xfId="0" applyNumberFormat="1" applyFont="1" applyBorder="1" applyAlignment="1">
      <alignment horizontal="left" vertical="center"/>
    </xf>
    <xf numFmtId="0" fontId="3" fillId="0" borderId="65" xfId="0" applyFont="1" applyBorder="1"/>
    <xf numFmtId="166" fontId="15" fillId="7" borderId="8" xfId="0" applyNumberFormat="1" applyFont="1" applyFill="1" applyBorder="1" applyAlignment="1">
      <alignment horizontal="center" vertical="center"/>
    </xf>
    <xf numFmtId="4" fontId="4" fillId="0" borderId="16" xfId="0" applyNumberFormat="1" applyFont="1" applyBorder="1" applyAlignment="1">
      <alignment horizontal="center" vertical="center"/>
    </xf>
    <xf numFmtId="4" fontId="4" fillId="0" borderId="17" xfId="0" applyNumberFormat="1" applyFont="1" applyBorder="1" applyAlignment="1">
      <alignment horizontal="center" vertical="center"/>
    </xf>
    <xf numFmtId="4" fontId="4" fillId="0" borderId="18" xfId="0" applyNumberFormat="1" applyFont="1" applyBorder="1" applyAlignment="1">
      <alignment horizontal="center" vertical="center"/>
    </xf>
    <xf numFmtId="14" fontId="4" fillId="0" borderId="16" xfId="0" applyNumberFormat="1" applyFont="1" applyBorder="1" applyAlignment="1">
      <alignment horizontal="center" vertical="center"/>
    </xf>
    <xf numFmtId="14" fontId="4" fillId="0" borderId="17" xfId="0" applyNumberFormat="1" applyFont="1" applyBorder="1" applyAlignment="1">
      <alignment horizontal="center" vertical="center"/>
    </xf>
    <xf numFmtId="14" fontId="4" fillId="0" borderId="18" xfId="0" applyNumberFormat="1" applyFont="1" applyBorder="1" applyAlignment="1">
      <alignment horizontal="center" vertical="center"/>
    </xf>
    <xf numFmtId="164" fontId="4" fillId="0" borderId="16" xfId="0" applyNumberFormat="1" applyFont="1" applyBorder="1" applyAlignment="1">
      <alignment horizontal="center" vertical="center"/>
    </xf>
    <xf numFmtId="164" fontId="4" fillId="0" borderId="17" xfId="0" applyNumberFormat="1" applyFont="1" applyBorder="1" applyAlignment="1">
      <alignment horizontal="center" vertical="center"/>
    </xf>
    <xf numFmtId="164" fontId="4" fillId="0" borderId="18" xfId="0" applyNumberFormat="1" applyFont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TABELAS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te.gov.br/seg_desemp/beneficio.asp" TargetMode="External"/><Relationship Id="rId2" Type="http://schemas.openxmlformats.org/officeDocument/2006/relationships/hyperlink" Target="#RESCIS&#195;O!A1"/><Relationship Id="rId1" Type="http://schemas.openxmlformats.org/officeDocument/2006/relationships/hyperlink" Target="http://www.contabeis.com.br/tabelas.asp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9525</xdr:colOff>
      <xdr:row>1</xdr:row>
      <xdr:rowOff>19050</xdr:rowOff>
    </xdr:from>
    <xdr:ext cx="1543050" cy="419100"/>
    <xdr:sp macro="" textlink="">
      <xdr:nvSpPr>
        <xdr:cNvPr id="3" name="Shap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579238" y="3575213"/>
          <a:ext cx="1533525" cy="409575"/>
        </a:xfrm>
        <a:prstGeom prst="roundRect">
          <a:avLst>
            <a:gd name="adj" fmla="val 16667"/>
          </a:avLst>
        </a:prstGeom>
        <a:gradFill>
          <a:gsLst>
            <a:gs pos="0">
              <a:srgbClr val="FFA3A3">
                <a:alpha val="49411"/>
              </a:srgbClr>
            </a:gs>
            <a:gs pos="100000">
              <a:srgbClr val="FFFFFF">
                <a:alpha val="49411"/>
              </a:srgbClr>
            </a:gs>
          </a:gsLst>
          <a:lin ang="5400000" scaled="0"/>
        </a:gradFill>
        <a:ln>
          <a:noFill/>
        </a:ln>
      </xdr:spPr>
      <xdr:txBody>
        <a:bodyPr spcFirstLastPara="1" wrap="square" lIns="45700" tIns="41125" rIns="45700" bIns="41125" anchor="ctr" anchorCtr="0">
          <a:noAutofit/>
        </a:bodyPr>
        <a:lstStyle/>
        <a:p>
          <a:pPr marL="0" lvl="0" indent="0" algn="ctr" rtl="1">
            <a:spcBef>
              <a:spcPts val="0"/>
            </a:spcBef>
            <a:spcAft>
              <a:spcPts val="0"/>
            </a:spcAft>
            <a:buClr>
              <a:srgbClr val="808080"/>
            </a:buClr>
            <a:buSzPts val="1800"/>
            <a:buFont typeface="Courier New"/>
            <a:buNone/>
          </a:pPr>
          <a:r>
            <a:rPr lang="en-US" sz="1800" b="1" i="0" strike="noStrike">
              <a:solidFill>
                <a:srgbClr val="808080"/>
              </a:solidFill>
              <a:latin typeface="Courier New"/>
              <a:ea typeface="Courier New"/>
              <a:cs typeface="Courier New"/>
              <a:sym typeface="Courier New"/>
            </a:rPr>
            <a:t>TABELAS</a:t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27</xdr:row>
      <xdr:rowOff>0</xdr:rowOff>
    </xdr:from>
    <xdr:ext cx="7429500" cy="419100"/>
    <xdr:sp macro="" textlink="">
      <xdr:nvSpPr>
        <xdr:cNvPr id="4" name="Shap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636013" y="3575213"/>
          <a:ext cx="7419975" cy="409575"/>
        </a:xfrm>
        <a:prstGeom prst="roundRect">
          <a:avLst>
            <a:gd name="adj" fmla="val 16667"/>
          </a:avLst>
        </a:prstGeom>
        <a:gradFill>
          <a:gsLst>
            <a:gs pos="0">
              <a:srgbClr val="99CCFF">
                <a:alpha val="49411"/>
              </a:srgbClr>
            </a:gs>
            <a:gs pos="100000">
              <a:srgbClr val="FFFFFF">
                <a:alpha val="49411"/>
              </a:srgbClr>
            </a:gs>
          </a:gsLst>
          <a:lin ang="5400000" scaled="0"/>
        </a:gradFill>
        <a:ln>
          <a:noFill/>
        </a:ln>
      </xdr:spPr>
      <xdr:txBody>
        <a:bodyPr spcFirstLastPara="1" wrap="square" lIns="45700" tIns="41125" rIns="45700" bIns="41125" anchor="ctr" anchorCtr="0">
          <a:noAutofit/>
        </a:bodyPr>
        <a:lstStyle/>
        <a:p>
          <a:pPr marL="0" lvl="0" indent="0" algn="ctr" rtl="1">
            <a:spcBef>
              <a:spcPts val="0"/>
            </a:spcBef>
            <a:spcAft>
              <a:spcPts val="0"/>
            </a:spcAft>
            <a:buClr>
              <a:srgbClr val="808080"/>
            </a:buClr>
            <a:buSzPts val="1800"/>
            <a:buFont typeface="Courier New"/>
            <a:buNone/>
          </a:pPr>
          <a:r>
            <a:rPr lang="en-US" sz="1800" b="1" i="0" strike="noStrike">
              <a:solidFill>
                <a:srgbClr val="808080"/>
              </a:solidFill>
              <a:latin typeface="Courier New"/>
              <a:ea typeface="Courier New"/>
              <a:cs typeface="Courier New"/>
              <a:sym typeface="Courier New"/>
            </a:rPr>
            <a:t>OBTENHA TABELAS ATUALIZADAS MENSALMENTE</a:t>
          </a:r>
          <a:endParaRPr sz="1400"/>
        </a:p>
      </xdr:txBody>
    </xdr:sp>
    <xdr:clientData fLocksWithSheet="0"/>
  </xdr:oneCellAnchor>
  <xdr:oneCellAnchor>
    <xdr:from>
      <xdr:col>6</xdr:col>
      <xdr:colOff>819150</xdr:colOff>
      <xdr:row>1</xdr:row>
      <xdr:rowOff>19050</xdr:rowOff>
    </xdr:from>
    <xdr:ext cx="1819275" cy="419100"/>
    <xdr:sp macro="" textlink="">
      <xdr:nvSpPr>
        <xdr:cNvPr id="5" name="Shape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441125" y="3575213"/>
          <a:ext cx="1809750" cy="409575"/>
        </a:xfrm>
        <a:prstGeom prst="roundRect">
          <a:avLst>
            <a:gd name="adj" fmla="val 16667"/>
          </a:avLst>
        </a:prstGeom>
        <a:gradFill>
          <a:gsLst>
            <a:gs pos="0">
              <a:srgbClr val="99CCFF">
                <a:alpha val="49411"/>
              </a:srgbClr>
            </a:gs>
            <a:gs pos="100000">
              <a:srgbClr val="FFFFFF">
                <a:alpha val="49411"/>
              </a:srgbClr>
            </a:gs>
          </a:gsLst>
          <a:lin ang="5400000" scaled="0"/>
        </a:gradFill>
        <a:ln>
          <a:noFill/>
        </a:ln>
      </xdr:spPr>
      <xdr:txBody>
        <a:bodyPr spcFirstLastPara="1" wrap="square" lIns="45700" tIns="41125" rIns="45700" bIns="41125" anchor="ctr" anchorCtr="0">
          <a:noAutofit/>
        </a:bodyPr>
        <a:lstStyle/>
        <a:p>
          <a:pPr marL="0" lvl="0" indent="0" algn="ctr" rtl="1">
            <a:spcBef>
              <a:spcPts val="0"/>
            </a:spcBef>
            <a:spcAft>
              <a:spcPts val="0"/>
            </a:spcAft>
            <a:buClr>
              <a:srgbClr val="808080"/>
            </a:buClr>
            <a:buSzPts val="1800"/>
            <a:buFont typeface="Courier New"/>
            <a:buNone/>
          </a:pPr>
          <a:r>
            <a:rPr lang="en-US" sz="1800" b="1" i="0" strike="noStrike">
              <a:solidFill>
                <a:srgbClr val="808080"/>
              </a:solidFill>
              <a:latin typeface="Courier New"/>
              <a:ea typeface="Courier New"/>
              <a:cs typeface="Courier New"/>
              <a:sym typeface="Courier New"/>
            </a:rPr>
            <a:t>CÁLCULO</a:t>
          </a:r>
          <a:endParaRPr sz="1400"/>
        </a:p>
      </xdr:txBody>
    </xdr:sp>
    <xdr:clientData fLocksWithSheet="0"/>
  </xdr:oneCellAnchor>
  <xdr:oneCellAnchor>
    <xdr:from>
      <xdr:col>7</xdr:col>
      <xdr:colOff>123825</xdr:colOff>
      <xdr:row>22</xdr:row>
      <xdr:rowOff>57150</xdr:rowOff>
    </xdr:from>
    <xdr:ext cx="1104900" cy="276225"/>
    <xdr:sp macro="" textlink="">
      <xdr:nvSpPr>
        <xdr:cNvPr id="6" name="Shape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4798313" y="3646650"/>
          <a:ext cx="1095375" cy="266700"/>
        </a:xfrm>
        <a:prstGeom prst="roundRect">
          <a:avLst>
            <a:gd name="adj" fmla="val 16667"/>
          </a:avLst>
        </a:prstGeom>
        <a:solidFill>
          <a:srgbClr val="FFFFFF">
            <a:alpha val="49411"/>
          </a:srgbClr>
        </a:solidFill>
        <a:ln>
          <a:noFill/>
        </a:ln>
      </xdr:spPr>
      <xdr:txBody>
        <a:bodyPr spcFirstLastPara="1" wrap="square" lIns="27425" tIns="27425" rIns="27425" bIns="27425" anchor="ctr" anchorCtr="0">
          <a:noAutofit/>
        </a:bodyPr>
        <a:lstStyle/>
        <a:p>
          <a:pPr marL="0" lvl="0" indent="0" algn="ctr" rtl="1">
            <a:spcBef>
              <a:spcPts val="0"/>
            </a:spcBef>
            <a:spcAft>
              <a:spcPts val="0"/>
            </a:spcAft>
            <a:buClr>
              <a:srgbClr val="808080"/>
            </a:buClr>
            <a:buSzPts val="1000"/>
            <a:buFont typeface="Courier New"/>
            <a:buNone/>
          </a:pPr>
          <a:r>
            <a:rPr lang="en-US" sz="1000" b="0" i="0" strike="noStrike">
              <a:solidFill>
                <a:srgbClr val="808080"/>
              </a:solidFill>
              <a:latin typeface="Courier New"/>
              <a:ea typeface="Courier New"/>
              <a:cs typeface="Courier New"/>
              <a:sym typeface="Courier New"/>
            </a:rPr>
            <a:t>ATUALIZAÇÃO</a:t>
          </a:r>
          <a:endParaRPr sz="1400"/>
        </a:p>
      </xdr:txBody>
    </xdr:sp>
    <xdr:clientData fLocksWithSheet="0"/>
  </xdr:oneCellAnchor>
  <xdr:oneCellAnchor>
    <xdr:from>
      <xdr:col>2</xdr:col>
      <xdr:colOff>0</xdr:colOff>
      <xdr:row>16</xdr:row>
      <xdr:rowOff>200025</xdr:rowOff>
    </xdr:from>
    <xdr:ext cx="981075" cy="276225"/>
    <xdr:sp macro="" textlink="">
      <xdr:nvSpPr>
        <xdr:cNvPr id="7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4860225" y="3646650"/>
          <a:ext cx="971550" cy="266700"/>
        </a:xfrm>
        <a:prstGeom prst="roundRect">
          <a:avLst>
            <a:gd name="adj" fmla="val 16667"/>
          </a:avLst>
        </a:prstGeom>
        <a:solidFill>
          <a:srgbClr val="FFFFFF">
            <a:alpha val="49411"/>
          </a:srgbClr>
        </a:solidFill>
        <a:ln>
          <a:noFill/>
        </a:ln>
      </xdr:spPr>
      <xdr:txBody>
        <a:bodyPr spcFirstLastPara="1" wrap="square" lIns="27425" tIns="27425" rIns="27425" bIns="27425" anchor="ctr" anchorCtr="0">
          <a:noAutofit/>
        </a:bodyPr>
        <a:lstStyle/>
        <a:p>
          <a:pPr marL="0" lvl="0" indent="0" algn="ctr" rtl="1">
            <a:spcBef>
              <a:spcPts val="0"/>
            </a:spcBef>
            <a:spcAft>
              <a:spcPts val="0"/>
            </a:spcAft>
            <a:buClr>
              <a:srgbClr val="808080"/>
            </a:buClr>
            <a:buSzPts val="1000"/>
            <a:buFont typeface="Courier New"/>
            <a:buNone/>
          </a:pPr>
          <a:r>
            <a:rPr lang="en-US" sz="1000" b="0" i="0" strike="noStrike">
              <a:solidFill>
                <a:srgbClr val="808080"/>
              </a:solidFill>
              <a:latin typeface="Courier New"/>
              <a:ea typeface="Courier New"/>
              <a:cs typeface="Courier New"/>
              <a:sym typeface="Courier New"/>
            </a:rPr>
            <a:t>ATUALIZAÇÃO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1000"/>
  <sheetViews>
    <sheetView showGridLines="0" tabSelected="1" zoomScale="60" zoomScaleNormal="60" workbookViewId="0">
      <selection activeCell="BJ24" sqref="BJ24"/>
    </sheetView>
  </sheetViews>
  <sheetFormatPr defaultColWidth="12.6640625" defaultRowHeight="15" customHeight="1"/>
  <cols>
    <col min="1" max="1" width="3.6640625" customWidth="1"/>
    <col min="2" max="37" width="2.6640625" customWidth="1"/>
    <col min="38" max="38" width="3.6640625" hidden="1" customWidth="1"/>
    <col min="39" max="42" width="15.6640625" hidden="1" customWidth="1"/>
    <col min="43" max="43" width="6.6640625" hidden="1" customWidth="1"/>
    <col min="44" max="44" width="12.44140625" hidden="1" customWidth="1"/>
    <col min="45" max="45" width="10.109375" hidden="1" customWidth="1"/>
    <col min="46" max="46" width="14.88671875" hidden="1" customWidth="1"/>
    <col min="47" max="48" width="3.33203125" hidden="1" customWidth="1"/>
    <col min="49" max="51" width="15.6640625" hidden="1" customWidth="1"/>
    <col min="52" max="52" width="2.6640625" hidden="1" customWidth="1"/>
    <col min="53" max="53" width="15.6640625" hidden="1" customWidth="1"/>
    <col min="54" max="54" width="53.88671875" hidden="1" customWidth="1"/>
    <col min="55" max="56" width="7.88671875" hidden="1" customWidth="1"/>
    <col min="57" max="57" width="2.109375" hidden="1" customWidth="1"/>
    <col min="58" max="59" width="15.6640625" hidden="1" customWidth="1"/>
    <col min="60" max="62" width="15.6640625" customWidth="1"/>
    <col min="63" max="63" width="26" customWidth="1"/>
    <col min="64" max="64" width="25.109375" customWidth="1"/>
    <col min="65" max="77" width="15.6640625" customWidth="1"/>
  </cols>
  <sheetData>
    <row r="1" spans="1:77" ht="1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</row>
    <row r="2" spans="1:77" ht="39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2">
        <f>IF(AR6=1,(AS17),(0))</f>
        <v>0</v>
      </c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</row>
    <row r="3" spans="1:77" ht="15" customHeight="1">
      <c r="A3" s="1"/>
      <c r="B3" s="150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1"/>
      <c r="AM3" s="1"/>
      <c r="AN3" s="1"/>
      <c r="AO3" s="1"/>
      <c r="AP3" s="1"/>
      <c r="AQ3" s="1"/>
      <c r="AR3" s="1">
        <f>IF(AR5=1,(1),IF(AR5=2,(2),(IF(AR5=3,(1)))))</f>
        <v>1</v>
      </c>
      <c r="AS3" s="1">
        <f>IF(AR6=3,(AS17),(0))</f>
        <v>0</v>
      </c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</row>
    <row r="4" spans="1:77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>
        <v>1</v>
      </c>
      <c r="BC4" s="1" t="s">
        <v>0</v>
      </c>
      <c r="BD4" s="1">
        <v>1</v>
      </c>
      <c r="BE4" s="1">
        <v>0</v>
      </c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</row>
    <row r="5" spans="1:77" ht="19.5" customHeight="1">
      <c r="A5" s="1"/>
      <c r="B5" s="151" t="s">
        <v>1</v>
      </c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3"/>
      <c r="AL5" s="1"/>
      <c r="AM5" s="1"/>
      <c r="AN5" s="1"/>
      <c r="AO5" s="1"/>
      <c r="AP5" s="1"/>
      <c r="AQ5" s="1" t="s">
        <v>2</v>
      </c>
      <c r="AR5" s="1">
        <v>1</v>
      </c>
      <c r="AS5" s="1">
        <v>1</v>
      </c>
      <c r="AT5" s="3" t="s">
        <v>3</v>
      </c>
      <c r="AU5" s="1"/>
      <c r="AV5" s="1"/>
      <c r="AW5" s="1"/>
      <c r="AX5" s="1"/>
      <c r="AY5" s="1"/>
      <c r="AZ5" s="1"/>
      <c r="BA5" s="1"/>
      <c r="BB5" s="1">
        <v>2</v>
      </c>
      <c r="BC5" s="1" t="s">
        <v>4</v>
      </c>
      <c r="BD5" s="1">
        <v>2</v>
      </c>
      <c r="BE5" s="1">
        <v>0</v>
      </c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</row>
    <row r="6" spans="1:77" ht="19.5" customHeight="1">
      <c r="A6" s="1"/>
      <c r="B6" s="154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6"/>
      <c r="AL6" s="1"/>
      <c r="AM6" s="1"/>
      <c r="AN6" s="1"/>
      <c r="AO6" s="1"/>
      <c r="AP6" s="1"/>
      <c r="AQ6" s="1" t="s">
        <v>5</v>
      </c>
      <c r="AR6" s="1">
        <v>1</v>
      </c>
      <c r="AS6" s="1">
        <v>2</v>
      </c>
      <c r="AT6" s="3" t="s">
        <v>6</v>
      </c>
      <c r="AU6" s="1"/>
      <c r="AV6" s="1"/>
      <c r="AW6" s="1"/>
      <c r="AX6" s="1"/>
      <c r="AY6" s="1"/>
      <c r="AZ6" s="1"/>
      <c r="BA6" s="1"/>
      <c r="BB6" s="1">
        <v>3</v>
      </c>
      <c r="BC6" s="1" t="s">
        <v>7</v>
      </c>
      <c r="BD6" s="1">
        <v>3</v>
      </c>
      <c r="BE6" s="1">
        <v>0</v>
      </c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</row>
    <row r="7" spans="1:77" ht="12" customHeight="1">
      <c r="A7" s="1"/>
      <c r="B7" s="1"/>
      <c r="C7" s="1"/>
      <c r="D7" s="1"/>
      <c r="E7" s="1"/>
      <c r="F7" s="1"/>
      <c r="G7" s="1"/>
      <c r="H7" s="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1"/>
      <c r="AL7" s="1"/>
      <c r="AM7" s="1"/>
      <c r="AN7" s="1"/>
      <c r="AO7" s="1"/>
      <c r="AP7" s="1"/>
      <c r="AQ7" s="1"/>
      <c r="AR7" s="1"/>
      <c r="AS7" s="1">
        <v>3</v>
      </c>
      <c r="AT7" s="3" t="s">
        <v>8</v>
      </c>
      <c r="AU7" s="1"/>
      <c r="AV7" s="1"/>
      <c r="AW7" s="1"/>
      <c r="AX7" s="1"/>
      <c r="AY7" s="1"/>
      <c r="AZ7" s="1"/>
      <c r="BA7" s="1"/>
      <c r="BB7" s="1">
        <v>4</v>
      </c>
      <c r="BC7" s="1" t="s">
        <v>9</v>
      </c>
      <c r="BD7" s="1">
        <v>4</v>
      </c>
      <c r="BE7" s="1">
        <v>0</v>
      </c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</row>
    <row r="8" spans="1:77" ht="19.5" customHeight="1">
      <c r="A8" s="1"/>
      <c r="B8" s="101" t="s">
        <v>10</v>
      </c>
      <c r="C8" s="69"/>
      <c r="D8" s="69"/>
      <c r="E8" s="69"/>
      <c r="F8" s="69"/>
      <c r="G8" s="69"/>
      <c r="H8" s="69"/>
      <c r="I8" s="157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  <c r="AK8" s="5"/>
      <c r="AL8" s="1"/>
      <c r="AM8" s="1"/>
      <c r="AN8" s="1"/>
      <c r="AO8" s="1"/>
      <c r="AP8" s="1"/>
      <c r="AQ8" s="1"/>
      <c r="AR8" s="6">
        <f>IF(AR6=2,(I17-30),(I17))</f>
        <v>0</v>
      </c>
      <c r="AS8" s="1">
        <v>1</v>
      </c>
      <c r="AT8" s="1" t="s">
        <v>11</v>
      </c>
      <c r="AU8" s="1"/>
      <c r="AV8" s="1"/>
      <c r="AW8" s="1"/>
      <c r="AX8" s="1"/>
      <c r="AY8" s="1"/>
      <c r="AZ8" s="1"/>
      <c r="BA8" s="1"/>
      <c r="BB8" s="1">
        <v>5</v>
      </c>
      <c r="BC8" s="1" t="s">
        <v>12</v>
      </c>
      <c r="BD8" s="1">
        <v>5</v>
      </c>
      <c r="BE8" s="1">
        <v>0</v>
      </c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</row>
    <row r="9" spans="1:77" ht="12" customHeight="1">
      <c r="A9" s="1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1"/>
      <c r="AL9" s="1"/>
      <c r="AM9" s="1"/>
      <c r="AN9" s="1"/>
      <c r="AO9" s="1"/>
      <c r="AP9" s="1"/>
      <c r="AQ9" s="1"/>
      <c r="AR9" s="1"/>
      <c r="AS9" s="1">
        <v>2</v>
      </c>
      <c r="AT9" s="1" t="s">
        <v>13</v>
      </c>
      <c r="AU9" s="1"/>
      <c r="AV9" s="1"/>
      <c r="AW9" s="1"/>
      <c r="AX9" s="1"/>
      <c r="AY9" s="1"/>
      <c r="AZ9" s="1"/>
      <c r="BA9" s="1"/>
      <c r="BB9" s="1">
        <v>6</v>
      </c>
      <c r="BC9" s="1" t="s">
        <v>14</v>
      </c>
      <c r="BD9" s="1">
        <v>6</v>
      </c>
      <c r="BE9" s="1">
        <v>3</v>
      </c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</row>
    <row r="10" spans="1:77" ht="19.5" customHeight="1">
      <c r="A10" s="1"/>
      <c r="B10" s="101" t="s">
        <v>15</v>
      </c>
      <c r="C10" s="69"/>
      <c r="D10" s="69"/>
      <c r="E10" s="69"/>
      <c r="F10" s="69"/>
      <c r="G10" s="69"/>
      <c r="H10" s="69"/>
      <c r="I10" s="158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5"/>
      <c r="AL10" s="1"/>
      <c r="AM10" s="1"/>
      <c r="AN10" s="1"/>
      <c r="AO10" s="1"/>
      <c r="AP10" s="1"/>
      <c r="AQ10" s="1"/>
      <c r="AR10" s="1"/>
      <c r="AS10" s="1"/>
      <c r="AT10" s="1">
        <v>2</v>
      </c>
      <c r="AU10" s="1"/>
      <c r="AV10" s="1"/>
      <c r="AW10" s="1"/>
      <c r="AX10" s="1"/>
      <c r="AY10" s="1"/>
      <c r="AZ10" s="1"/>
      <c r="BA10" s="1"/>
      <c r="BB10" s="1">
        <v>7</v>
      </c>
      <c r="BC10" s="1" t="s">
        <v>16</v>
      </c>
      <c r="BD10" s="1">
        <v>7</v>
      </c>
      <c r="BE10" s="1">
        <v>3</v>
      </c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</row>
    <row r="11" spans="1:77" ht="12" customHeight="1">
      <c r="A11" s="1"/>
      <c r="B11" s="4"/>
      <c r="C11" s="4"/>
      <c r="D11" s="4"/>
      <c r="E11" s="4"/>
      <c r="F11" s="4"/>
      <c r="G11" s="4"/>
      <c r="H11" s="4"/>
      <c r="I11" s="50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1"/>
      <c r="AL11" s="1"/>
      <c r="AM11" s="1"/>
      <c r="AN11" s="1"/>
      <c r="AO11" s="1"/>
      <c r="AP11" s="1"/>
      <c r="AQ11" s="1"/>
      <c r="AR11" s="1">
        <f t="shared" ref="AR11:AR12" si="0">IF(AR5=1,(1),(0))</f>
        <v>1</v>
      </c>
      <c r="AS11" s="1"/>
      <c r="AT11" s="1">
        <f>IF(AT12=1,(-1),(IF(AT12=7,(-1),(0))))</f>
        <v>0</v>
      </c>
      <c r="AU11" s="1"/>
      <c r="AV11" s="1"/>
      <c r="AW11" s="1"/>
      <c r="AX11" s="1"/>
      <c r="AY11" s="1"/>
      <c r="AZ11" s="1"/>
      <c r="BA11" s="1">
        <f>WEEKDAY(AS13)</f>
        <v>2</v>
      </c>
      <c r="BB11" s="1">
        <f>(BA11)</f>
        <v>2</v>
      </c>
      <c r="BC11" s="1" t="str">
        <f>VLOOKUP(BB11,BB4:BC10,2,FALSE)</f>
        <v>(SEG)</v>
      </c>
      <c r="BD11" s="1">
        <v>8</v>
      </c>
      <c r="BE11" s="1">
        <v>3</v>
      </c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</row>
    <row r="12" spans="1:77" ht="19.5" customHeight="1">
      <c r="A12" s="1"/>
      <c r="B12" s="101" t="s">
        <v>17</v>
      </c>
      <c r="C12" s="69"/>
      <c r="D12" s="69"/>
      <c r="E12" s="69"/>
      <c r="F12" s="69"/>
      <c r="G12" s="69"/>
      <c r="H12" s="69"/>
      <c r="I12" s="7"/>
      <c r="J12" s="159" t="s">
        <v>76</v>
      </c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2"/>
      <c r="AD12" s="7"/>
      <c r="AE12" s="7"/>
      <c r="AF12" s="7"/>
      <c r="AG12" s="7"/>
      <c r="AH12" s="7"/>
      <c r="AI12" s="7"/>
      <c r="AJ12" s="7"/>
      <c r="AK12" s="7"/>
      <c r="AL12" s="1"/>
      <c r="AM12" s="1"/>
      <c r="AN12" s="1"/>
      <c r="AO12" s="1"/>
      <c r="AP12" s="1"/>
      <c r="AQ12" s="1"/>
      <c r="AR12" s="1">
        <f t="shared" si="0"/>
        <v>1</v>
      </c>
      <c r="AS12" s="8">
        <f>(I17)</f>
        <v>0</v>
      </c>
      <c r="AT12" s="1">
        <f>WEEKDAY(AR14)</f>
        <v>2</v>
      </c>
      <c r="AU12" s="1"/>
      <c r="AV12" s="1"/>
      <c r="AW12" s="1"/>
      <c r="AX12" s="1"/>
      <c r="AY12" s="1"/>
      <c r="AZ12" s="1"/>
      <c r="BA12" s="1">
        <f>DAY(AS13)</f>
        <v>9</v>
      </c>
      <c r="BB12" s="1" t="str">
        <f t="shared" ref="BB12:BB13" si="1">IF(BA12&lt;10,(CONCATENATE("0",BA12)),(BA12))</f>
        <v>09</v>
      </c>
      <c r="BC12" s="1"/>
      <c r="BD12" s="1">
        <v>9</v>
      </c>
      <c r="BE12" s="1">
        <v>3</v>
      </c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</row>
    <row r="13" spans="1:77" ht="19.5" customHeight="1">
      <c r="A13" s="1"/>
      <c r="B13" s="1"/>
      <c r="C13" s="1"/>
      <c r="D13" s="1"/>
      <c r="E13" s="1"/>
      <c r="F13" s="1"/>
      <c r="G13" s="1"/>
      <c r="H13" s="1"/>
      <c r="I13" s="7"/>
      <c r="J13" s="160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7"/>
      <c r="AE13" s="7"/>
      <c r="AF13" s="7"/>
      <c r="AG13" s="7"/>
      <c r="AH13" s="7"/>
      <c r="AI13" s="7"/>
      <c r="AJ13" s="7"/>
      <c r="AK13" s="7"/>
      <c r="AL13" s="1"/>
      <c r="AM13" s="1"/>
      <c r="AN13" s="1"/>
      <c r="AO13" s="1"/>
      <c r="AP13" s="1"/>
      <c r="AQ13" s="1"/>
      <c r="AR13" s="1">
        <f>SUM(AR11:AR12)</f>
        <v>2</v>
      </c>
      <c r="AS13" s="8">
        <f>(AR14+AT11)</f>
        <v>9</v>
      </c>
      <c r="AT13" s="1">
        <f>(I17-B17)</f>
        <v>0</v>
      </c>
      <c r="AU13" s="1"/>
      <c r="AV13" s="1"/>
      <c r="AW13" s="1"/>
      <c r="AX13" s="1"/>
      <c r="AY13" s="1"/>
      <c r="AZ13" s="1"/>
      <c r="BA13" s="1">
        <f>MONTH(AS13)</f>
        <v>1</v>
      </c>
      <c r="BB13" s="1" t="str">
        <f t="shared" si="1"/>
        <v>01</v>
      </c>
      <c r="BC13" s="1"/>
      <c r="BD13" s="1">
        <v>10</v>
      </c>
      <c r="BE13" s="1">
        <v>3</v>
      </c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</row>
    <row r="14" spans="1:77" ht="19.5" customHeight="1">
      <c r="A14" s="1"/>
      <c r="B14" s="148" t="s">
        <v>18</v>
      </c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1"/>
      <c r="AM14" s="1"/>
      <c r="AN14" s="1"/>
      <c r="AO14" s="1"/>
      <c r="AP14" s="1"/>
      <c r="AQ14" s="1"/>
      <c r="AR14" s="6">
        <f>IF(AR6=2,(AS12+1),(AS12+9))</f>
        <v>9</v>
      </c>
      <c r="AS14" s="1"/>
      <c r="AT14" s="1">
        <f>(AT13/30)</f>
        <v>0</v>
      </c>
      <c r="AU14" s="1"/>
      <c r="AV14" s="1"/>
      <c r="AW14" s="1"/>
      <c r="AX14" s="1"/>
      <c r="AY14" s="1"/>
      <c r="AZ14" s="1"/>
      <c r="BA14" s="1">
        <f>YEAR(AS13)</f>
        <v>1900</v>
      </c>
      <c r="BB14" s="1"/>
      <c r="BC14" s="1"/>
      <c r="BD14" s="1">
        <v>11</v>
      </c>
      <c r="BE14" s="1">
        <v>3</v>
      </c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</row>
    <row r="15" spans="1:77" ht="12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 t="str">
        <f>MID(AT14,1,2)</f>
        <v>0</v>
      </c>
      <c r="AT15" s="1">
        <f>VALUE(AS15)</f>
        <v>0</v>
      </c>
      <c r="AU15" s="1"/>
      <c r="AV15" s="1"/>
      <c r="AW15" s="1"/>
      <c r="AX15" s="1"/>
      <c r="AY15" s="1"/>
      <c r="AZ15" s="1"/>
      <c r="BA15" s="6">
        <f>DATE(BA14,BB13,BB12)</f>
        <v>9</v>
      </c>
      <c r="BB15" s="1"/>
      <c r="BC15" s="1"/>
      <c r="BD15" s="1">
        <v>12</v>
      </c>
      <c r="BE15" s="1">
        <v>4</v>
      </c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</row>
    <row r="16" spans="1:77" ht="19.5" customHeight="1">
      <c r="A16" s="1"/>
      <c r="B16" s="138" t="s">
        <v>19</v>
      </c>
      <c r="C16" s="119"/>
      <c r="D16" s="119"/>
      <c r="E16" s="119"/>
      <c r="F16" s="119"/>
      <c r="G16" s="119"/>
      <c r="H16" s="139"/>
      <c r="I16" s="138" t="s">
        <v>20</v>
      </c>
      <c r="J16" s="119"/>
      <c r="K16" s="119"/>
      <c r="L16" s="119"/>
      <c r="M16" s="119"/>
      <c r="N16" s="119"/>
      <c r="O16" s="139"/>
      <c r="P16" s="138" t="s">
        <v>21</v>
      </c>
      <c r="Q16" s="119"/>
      <c r="R16" s="119"/>
      <c r="S16" s="119"/>
      <c r="T16" s="119"/>
      <c r="U16" s="119"/>
      <c r="V16" s="139"/>
      <c r="W16" s="138" t="s">
        <v>22</v>
      </c>
      <c r="X16" s="119"/>
      <c r="Y16" s="119"/>
      <c r="Z16" s="119"/>
      <c r="AA16" s="119"/>
      <c r="AB16" s="119"/>
      <c r="AC16" s="139"/>
      <c r="AD16" s="138" t="s">
        <v>23</v>
      </c>
      <c r="AE16" s="119"/>
      <c r="AF16" s="119"/>
      <c r="AG16" s="119"/>
      <c r="AH16" s="119"/>
      <c r="AI16" s="119"/>
      <c r="AJ16" s="119"/>
      <c r="AK16" s="139"/>
      <c r="AL16" s="1"/>
      <c r="AM16" s="1"/>
      <c r="AN16" s="1"/>
      <c r="AO16" s="1"/>
      <c r="AP16" s="1"/>
      <c r="AQ16" s="1"/>
      <c r="AR16" s="1"/>
      <c r="AS16" s="1"/>
      <c r="AT16" s="1">
        <f>IF(AT15&gt;25,(25),(AT15))</f>
        <v>0</v>
      </c>
      <c r="AU16" s="1"/>
      <c r="AV16" s="1"/>
      <c r="AW16" s="1"/>
      <c r="AX16" s="1"/>
      <c r="AY16" s="1"/>
      <c r="AZ16" s="1"/>
      <c r="BA16" s="1">
        <f>MONTH(B17)</f>
        <v>1</v>
      </c>
      <c r="BB16" s="1">
        <f>MONTH(I17)</f>
        <v>1</v>
      </c>
      <c r="BC16" s="1"/>
      <c r="BD16" s="1">
        <v>13</v>
      </c>
      <c r="BE16" s="1">
        <v>4</v>
      </c>
      <c r="BF16" s="1"/>
      <c r="BG16" s="1"/>
      <c r="BH16" s="1"/>
      <c r="BI16" s="1"/>
      <c r="BJ16" s="48" t="s">
        <v>82</v>
      </c>
      <c r="BK16" s="49">
        <f>L37</f>
        <v>0</v>
      </c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</row>
    <row r="17" spans="1:77" ht="19.5" customHeight="1">
      <c r="A17" s="1"/>
      <c r="B17" s="172"/>
      <c r="C17" s="173"/>
      <c r="D17" s="173"/>
      <c r="E17" s="173"/>
      <c r="F17" s="173"/>
      <c r="G17" s="173"/>
      <c r="H17" s="174"/>
      <c r="I17" s="169"/>
      <c r="J17" s="170"/>
      <c r="K17" s="170"/>
      <c r="L17" s="170"/>
      <c r="M17" s="170"/>
      <c r="N17" s="170"/>
      <c r="O17" s="171"/>
      <c r="P17" s="166"/>
      <c r="Q17" s="167"/>
      <c r="R17" s="167"/>
      <c r="S17" s="167"/>
      <c r="T17" s="167"/>
      <c r="U17" s="167"/>
      <c r="V17" s="168"/>
      <c r="W17" s="142">
        <f>DATEDIF(B17,I17,"M")</f>
        <v>0</v>
      </c>
      <c r="X17" s="140"/>
      <c r="Y17" s="140"/>
      <c r="Z17" s="140"/>
      <c r="AA17" s="140"/>
      <c r="AB17" s="140"/>
      <c r="AC17" s="141"/>
      <c r="AD17" s="143" t="s">
        <v>6</v>
      </c>
      <c r="AE17" s="144"/>
      <c r="AF17" s="144"/>
      <c r="AG17" s="144"/>
      <c r="AH17" s="144"/>
      <c r="AI17" s="144"/>
      <c r="AJ17" s="144"/>
      <c r="AK17" s="145"/>
      <c r="AL17" s="1"/>
      <c r="AM17" s="1"/>
      <c r="AN17" s="1"/>
      <c r="AO17" s="1"/>
      <c r="AP17" s="1"/>
      <c r="AQ17" s="1"/>
      <c r="AR17" s="1"/>
      <c r="AS17" s="2">
        <f>P17</f>
        <v>0</v>
      </c>
      <c r="AT17" s="1"/>
      <c r="AU17" s="1"/>
      <c r="AV17" s="1"/>
      <c r="AW17" s="1"/>
      <c r="AX17" s="1"/>
      <c r="AY17" s="1"/>
      <c r="AZ17" s="1"/>
      <c r="BA17" s="1">
        <f>YEAR(B17)</f>
        <v>1900</v>
      </c>
      <c r="BB17" s="1">
        <f>YEAR(I17)</f>
        <v>1900</v>
      </c>
      <c r="BC17" s="1"/>
      <c r="BD17" s="1">
        <v>14</v>
      </c>
      <c r="BE17" s="1">
        <v>4</v>
      </c>
      <c r="BF17" s="1"/>
      <c r="BG17" s="1"/>
      <c r="BH17" s="1"/>
      <c r="BI17" s="1"/>
      <c r="BJ17" s="48" t="s">
        <v>83</v>
      </c>
      <c r="BK17" s="49">
        <f>K45</f>
        <v>0</v>
      </c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</row>
    <row r="18" spans="1:77" ht="12" customHeight="1">
      <c r="A18" s="1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 t="str">
        <f t="shared" ref="BA18:BB18" si="2">CONCATENATE(BA16,BA17)</f>
        <v>11900</v>
      </c>
      <c r="BB18" s="1" t="str">
        <f t="shared" si="2"/>
        <v>11900</v>
      </c>
      <c r="BC18" s="1"/>
      <c r="BD18" s="1">
        <v>15</v>
      </c>
      <c r="BE18" s="1">
        <v>4</v>
      </c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</row>
    <row r="19" spans="1:77" ht="19.5" customHeight="1">
      <c r="A19" s="1"/>
      <c r="B19" s="138" t="s">
        <v>24</v>
      </c>
      <c r="C19" s="119"/>
      <c r="D19" s="119"/>
      <c r="E19" s="119"/>
      <c r="F19" s="119"/>
      <c r="G19" s="119"/>
      <c r="H19" s="139"/>
      <c r="I19" s="138" t="s">
        <v>25</v>
      </c>
      <c r="J19" s="119"/>
      <c r="K19" s="119"/>
      <c r="L19" s="139"/>
      <c r="M19" s="138" t="s">
        <v>26</v>
      </c>
      <c r="N19" s="119"/>
      <c r="O19" s="119"/>
      <c r="P19" s="119"/>
      <c r="Q19" s="119"/>
      <c r="R19" s="119"/>
      <c r="S19" s="139"/>
      <c r="T19" s="138" t="s">
        <v>27</v>
      </c>
      <c r="U19" s="119"/>
      <c r="V19" s="119"/>
      <c r="W19" s="119"/>
      <c r="X19" s="119"/>
      <c r="Y19" s="119"/>
      <c r="Z19" s="139"/>
      <c r="AA19" s="138" t="s">
        <v>28</v>
      </c>
      <c r="AB19" s="119"/>
      <c r="AC19" s="119"/>
      <c r="AD19" s="119"/>
      <c r="AE19" s="119"/>
      <c r="AF19" s="119"/>
      <c r="AG19" s="139"/>
      <c r="AH19" s="138" t="s">
        <v>29</v>
      </c>
      <c r="AI19" s="119"/>
      <c r="AJ19" s="119"/>
      <c r="AK19" s="139"/>
      <c r="AL19" s="1"/>
      <c r="AM19" s="1"/>
      <c r="AN19" s="1"/>
      <c r="AO19" s="1"/>
      <c r="AP19" s="1"/>
      <c r="AQ19" s="1"/>
      <c r="AR19" s="1">
        <v>1</v>
      </c>
      <c r="AS19" s="8">
        <f>(B17)</f>
        <v>0</v>
      </c>
      <c r="AT19" s="1"/>
      <c r="AU19" s="1"/>
      <c r="AV19" s="1"/>
      <c r="AW19" s="1"/>
      <c r="AX19" s="1"/>
      <c r="AY19" s="1"/>
      <c r="AZ19" s="1">
        <f>(BB20-BA20)</f>
        <v>0</v>
      </c>
      <c r="BA19" s="1">
        <f>IF(BA18=BB18,(2),(1))</f>
        <v>2</v>
      </c>
      <c r="BB19" s="1"/>
      <c r="BC19" s="1"/>
      <c r="BD19" s="1">
        <v>16</v>
      </c>
      <c r="BE19" s="1">
        <v>4</v>
      </c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</row>
    <row r="20" spans="1:77" ht="19.5" customHeight="1">
      <c r="A20" s="1"/>
      <c r="B20" s="143" t="s">
        <v>11</v>
      </c>
      <c r="C20" s="144"/>
      <c r="D20" s="144"/>
      <c r="E20" s="144"/>
      <c r="F20" s="144"/>
      <c r="G20" s="144"/>
      <c r="H20" s="145"/>
      <c r="I20" s="146">
        <v>0.5</v>
      </c>
      <c r="J20" s="140"/>
      <c r="K20" s="140"/>
      <c r="L20" s="141"/>
      <c r="M20" s="147">
        <v>0</v>
      </c>
      <c r="N20" s="140"/>
      <c r="O20" s="140"/>
      <c r="P20" s="140"/>
      <c r="Q20" s="140"/>
      <c r="R20" s="140"/>
      <c r="S20" s="141"/>
      <c r="T20" s="147">
        <v>0</v>
      </c>
      <c r="U20" s="140"/>
      <c r="V20" s="140"/>
      <c r="W20" s="140"/>
      <c r="X20" s="140"/>
      <c r="Y20" s="140"/>
      <c r="Z20" s="141"/>
      <c r="AA20" s="147">
        <v>0</v>
      </c>
      <c r="AB20" s="140"/>
      <c r="AC20" s="140"/>
      <c r="AD20" s="140"/>
      <c r="AE20" s="140"/>
      <c r="AF20" s="140"/>
      <c r="AG20" s="141"/>
      <c r="AH20" s="149">
        <v>0</v>
      </c>
      <c r="AI20" s="140"/>
      <c r="AJ20" s="140"/>
      <c r="AK20" s="141"/>
      <c r="AL20" s="1"/>
      <c r="AM20" s="1"/>
      <c r="AN20" s="1"/>
      <c r="AO20" s="1"/>
      <c r="AP20" s="1"/>
      <c r="AQ20" s="1"/>
      <c r="AR20" s="1">
        <v>2</v>
      </c>
      <c r="AS20" s="6">
        <f>DATE(AS21,1,1)</f>
        <v>1</v>
      </c>
      <c r="AT20" s="1"/>
      <c r="AU20" s="1"/>
      <c r="AV20" s="1"/>
      <c r="AW20" s="1"/>
      <c r="AX20" s="1"/>
      <c r="AY20" s="1"/>
      <c r="AZ20" s="1"/>
      <c r="BA20" s="1">
        <f>DAY(B17)</f>
        <v>0</v>
      </c>
      <c r="BB20" s="1">
        <f>DAY(I17)</f>
        <v>0</v>
      </c>
      <c r="BC20" s="1"/>
      <c r="BD20" s="1">
        <v>17</v>
      </c>
      <c r="BE20" s="1">
        <v>4</v>
      </c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</row>
    <row r="21" spans="1:77" ht="12" customHeight="1">
      <c r="A21" s="1"/>
      <c r="B21" s="8"/>
      <c r="C21" s="8"/>
      <c r="D21" s="8"/>
      <c r="E21" s="8"/>
      <c r="F21" s="8"/>
      <c r="G21" s="8"/>
      <c r="H21" s="8"/>
      <c r="I21" s="9"/>
      <c r="J21" s="1"/>
      <c r="K21" s="1"/>
      <c r="L21" s="1"/>
      <c r="M21" s="1"/>
      <c r="N21" s="1"/>
      <c r="O21" s="1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>
        <f>YEAR(B17)</f>
        <v>1900</v>
      </c>
      <c r="AS21" s="1">
        <f>YEAR(I17)</f>
        <v>1900</v>
      </c>
      <c r="AT21" s="1"/>
      <c r="AU21" s="1">
        <f>MONTH(I17)</f>
        <v>1</v>
      </c>
      <c r="AV21" s="1">
        <v>30</v>
      </c>
      <c r="AW21" s="1"/>
      <c r="AX21" s="1"/>
      <c r="AY21" s="1"/>
      <c r="AZ21" s="1"/>
      <c r="BA21" s="1"/>
      <c r="BB21" s="1"/>
      <c r="BC21" s="1"/>
      <c r="BD21" s="1">
        <v>18</v>
      </c>
      <c r="BE21" s="1">
        <v>4</v>
      </c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</row>
    <row r="22" spans="1:77" ht="19.5" customHeight="1">
      <c r="A22" s="1"/>
      <c r="B22" s="137" t="s">
        <v>30</v>
      </c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11"/>
      <c r="T22" s="137" t="s">
        <v>31</v>
      </c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11"/>
      <c r="AL22" s="1"/>
      <c r="AM22" s="1"/>
      <c r="AN22" s="1"/>
      <c r="AO22" s="1"/>
      <c r="AP22" s="1"/>
      <c r="AQ22" s="1"/>
      <c r="AR22" s="1">
        <f>IF(AR21=AS21,(1),(2))</f>
        <v>1</v>
      </c>
      <c r="AS22" s="8">
        <f>VLOOKUP(AR22,AR19:AS20,2,FALSE)</f>
        <v>0</v>
      </c>
      <c r="AT22" s="1"/>
      <c r="AU22" s="1">
        <v>1</v>
      </c>
      <c r="AV22" s="1">
        <v>31</v>
      </c>
      <c r="AW22" s="1"/>
      <c r="AX22" s="1"/>
      <c r="AY22" s="1"/>
      <c r="AZ22" s="1"/>
      <c r="BA22" s="1"/>
      <c r="BB22" s="1">
        <f>IF(AQ23&lt;BA23,(1),IF(AQ23&lt;BA24,(2),(IF(AQ23&lt;BA25,(3),(IF(AQ23&lt;BA26,(4),(IF(AQ23&gt;BA27,(5)))))))))</f>
        <v>1</v>
      </c>
      <c r="BC22" s="1">
        <f>IF(AQ24&lt;BA23,(1),IF(AQ24&lt;BA24,(2),(IF(AQ24&lt;BA25,(3),(IF(AQ24&lt;BA26,(4),(IF(AQ24&gt;BA27,(5)))))))))</f>
        <v>1</v>
      </c>
      <c r="BD22" s="1">
        <v>19</v>
      </c>
      <c r="BE22" s="1">
        <v>4</v>
      </c>
      <c r="BF22" s="1"/>
      <c r="BG22" s="1"/>
      <c r="BH22" s="1"/>
      <c r="BI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</row>
    <row r="23" spans="1:77" ht="19.5" customHeight="1">
      <c r="A23" s="1"/>
      <c r="B23" s="134" t="s">
        <v>32</v>
      </c>
      <c r="C23" s="77"/>
      <c r="D23" s="77"/>
      <c r="E23" s="77"/>
      <c r="F23" s="77"/>
      <c r="G23" s="77"/>
      <c r="H23" s="77"/>
      <c r="I23" s="77"/>
      <c r="J23" s="77"/>
      <c r="K23" s="78"/>
      <c r="L23" s="123">
        <f>I17 - DATE(YEAR(I17), MONTH(I17), 1) + 1</f>
        <v>0</v>
      </c>
      <c r="M23" s="77"/>
      <c r="N23" s="78"/>
      <c r="O23" s="124">
        <f>ROUND((P17/30)*L23,2)</f>
        <v>0</v>
      </c>
      <c r="P23" s="77"/>
      <c r="Q23" s="77"/>
      <c r="R23" s="77"/>
      <c r="S23" s="125"/>
      <c r="T23" s="126" t="s">
        <v>33</v>
      </c>
      <c r="U23" s="77"/>
      <c r="V23" s="77"/>
      <c r="W23" s="77"/>
      <c r="X23" s="77"/>
      <c r="Y23" s="77"/>
      <c r="Z23" s="77"/>
      <c r="AA23" s="77"/>
      <c r="AB23" s="77"/>
      <c r="AC23" s="78"/>
      <c r="AD23" s="127">
        <f>(BC29)</f>
        <v>7.4999999999999997E-2</v>
      </c>
      <c r="AE23" s="127"/>
      <c r="AF23" s="127"/>
      <c r="AG23" s="128">
        <f>(AR23)</f>
        <v>0</v>
      </c>
      <c r="AH23" s="128"/>
      <c r="AI23" s="128"/>
      <c r="AJ23" s="128"/>
      <c r="AK23" s="129"/>
      <c r="AL23" s="1"/>
      <c r="AM23" s="1"/>
      <c r="AN23" s="1"/>
      <c r="AO23" s="1"/>
      <c r="AP23" s="1"/>
      <c r="AQ23" s="10">
        <f>SUM(O23,O31,O32,O34,O35)</f>
        <v>0</v>
      </c>
      <c r="AR23" s="11">
        <f>IF(AQ23&gt;BA27,(BA27*BC29),(AQ23*BC29))</f>
        <v>0</v>
      </c>
      <c r="AS23" s="1">
        <f>IF(BA19=2,(AZ19),(DAY(I17)))</f>
        <v>0</v>
      </c>
      <c r="AT23" s="1"/>
      <c r="AU23" s="1">
        <v>2</v>
      </c>
      <c r="AV23" s="1">
        <v>28</v>
      </c>
      <c r="AW23" s="1"/>
      <c r="AX23" s="1"/>
      <c r="AY23" s="1"/>
      <c r="AZ23" s="12">
        <v>1</v>
      </c>
      <c r="BA23" s="13">
        <f>(TABELAS!D7)</f>
        <v>1518.01</v>
      </c>
      <c r="BB23" s="1"/>
      <c r="BC23" s="14">
        <f>(TABELAS!H6)</f>
        <v>7.4999999999999997E-2</v>
      </c>
      <c r="BD23" s="1">
        <v>20</v>
      </c>
      <c r="BE23" s="1">
        <v>4</v>
      </c>
      <c r="BF23" s="1"/>
      <c r="BG23" s="1"/>
      <c r="BH23" s="1"/>
      <c r="BI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</row>
    <row r="24" spans="1:77" ht="19.5" customHeight="1">
      <c r="A24" s="1"/>
      <c r="B24" s="64" t="s">
        <v>34</v>
      </c>
      <c r="C24" s="52"/>
      <c r="D24" s="52"/>
      <c r="E24" s="52"/>
      <c r="F24" s="52"/>
      <c r="G24" s="52"/>
      <c r="H24" s="52"/>
      <c r="I24" s="52"/>
      <c r="J24" s="52"/>
      <c r="K24" s="53"/>
      <c r="L24" s="130">
        <f>IF(YEAR(B17)=YEAR(I17),
   MONTH(I17)-MONTH(B17)+IF(DAY(B17)&lt;=15,1,0)+IF(DAY(I17)&lt;=15,-1,0),
   IF(YEAR(B17)&lt;YEAR(I17),
      MONTH(I17)+IF(DAY(I17)&lt;=15,-1,0),
      0
   )
)</f>
        <v>0</v>
      </c>
      <c r="M24" s="52"/>
      <c r="N24" s="53"/>
      <c r="O24" s="56">
        <f>ROUND((P17/12*L24),2)</f>
        <v>0</v>
      </c>
      <c r="P24" s="52"/>
      <c r="Q24" s="52"/>
      <c r="R24" s="52"/>
      <c r="S24" s="57"/>
      <c r="T24" s="58" t="s">
        <v>35</v>
      </c>
      <c r="U24" s="52"/>
      <c r="V24" s="52"/>
      <c r="W24" s="52"/>
      <c r="X24" s="52"/>
      <c r="Y24" s="52"/>
      <c r="Z24" s="52"/>
      <c r="AA24" s="52"/>
      <c r="AB24" s="52"/>
      <c r="AC24" s="53"/>
      <c r="AD24" s="131">
        <f>(BC30)</f>
        <v>7.4999999999999997E-2</v>
      </c>
      <c r="AE24" s="131"/>
      <c r="AF24" s="131"/>
      <c r="AG24" s="132">
        <f>(AR24)</f>
        <v>0</v>
      </c>
      <c r="AH24" s="132"/>
      <c r="AI24" s="132"/>
      <c r="AJ24" s="132"/>
      <c r="AK24" s="133"/>
      <c r="AL24" s="1"/>
      <c r="AM24" s="1"/>
      <c r="AN24" s="1"/>
      <c r="AO24" s="1"/>
      <c r="AP24" s="1"/>
      <c r="AQ24" s="10">
        <f>SUM(O24:S26)</f>
        <v>0</v>
      </c>
      <c r="AR24" s="11">
        <f>IF(AQ24&gt;BA27,(BA27*BC30),(AQ24*BC30))</f>
        <v>0</v>
      </c>
      <c r="AS24" s="1">
        <f>IF(AS23&lt;15,(1),(0))</f>
        <v>1</v>
      </c>
      <c r="AT24" s="1"/>
      <c r="AU24" s="1">
        <v>3</v>
      </c>
      <c r="AV24" s="1">
        <v>31</v>
      </c>
      <c r="AW24" s="1"/>
      <c r="AX24" s="1"/>
      <c r="AY24" s="1"/>
      <c r="AZ24" s="12">
        <v>2</v>
      </c>
      <c r="BA24" s="13">
        <f>(TABELAS!D8)</f>
        <v>2793.89</v>
      </c>
      <c r="BB24" s="1"/>
      <c r="BC24" s="14">
        <f>(TABELAS!H7)</f>
        <v>0.09</v>
      </c>
      <c r="BD24" s="1">
        <v>21</v>
      </c>
      <c r="BE24" s="1">
        <v>4</v>
      </c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</row>
    <row r="25" spans="1:77" ht="19.5" customHeight="1">
      <c r="A25" s="1"/>
      <c r="B25" s="64" t="s">
        <v>36</v>
      </c>
      <c r="C25" s="52"/>
      <c r="D25" s="52"/>
      <c r="E25" s="52"/>
      <c r="F25" s="52"/>
      <c r="G25" s="52"/>
      <c r="H25" s="52"/>
      <c r="I25" s="52"/>
      <c r="J25" s="52"/>
      <c r="K25" s="53"/>
      <c r="L25" s="135">
        <v>0</v>
      </c>
      <c r="M25" s="52"/>
      <c r="N25" s="53"/>
      <c r="O25" s="56">
        <v>0</v>
      </c>
      <c r="P25" s="52"/>
      <c r="Q25" s="52"/>
      <c r="R25" s="52"/>
      <c r="S25" s="57"/>
      <c r="T25" s="58" t="s">
        <v>37</v>
      </c>
      <c r="U25" s="52"/>
      <c r="V25" s="52"/>
      <c r="W25" s="52"/>
      <c r="X25" s="52"/>
      <c r="Y25" s="52"/>
      <c r="Z25" s="52"/>
      <c r="AA25" s="52"/>
      <c r="AB25" s="52"/>
      <c r="AC25" s="53"/>
      <c r="AD25" s="136"/>
      <c r="AE25" s="52"/>
      <c r="AF25" s="53"/>
      <c r="AG25" s="60"/>
      <c r="AH25" s="52"/>
      <c r="AI25" s="52"/>
      <c r="AJ25" s="52"/>
      <c r="AK25" s="57"/>
      <c r="AL25" s="1"/>
      <c r="AM25" s="1"/>
      <c r="AN25" s="1"/>
      <c r="AO25" s="1"/>
      <c r="AP25" s="1"/>
      <c r="AQ25" s="10">
        <f>AQ26-AG28</f>
        <v>0</v>
      </c>
      <c r="AR25" s="1">
        <f>MONTH(AS22)</f>
        <v>1</v>
      </c>
      <c r="AS25" s="1">
        <f>(AU21-AS24)</f>
        <v>0</v>
      </c>
      <c r="AT25" s="1"/>
      <c r="AU25" s="1">
        <v>4</v>
      </c>
      <c r="AV25" s="1">
        <v>30</v>
      </c>
      <c r="AW25" s="1"/>
      <c r="AX25" s="1"/>
      <c r="AY25" s="1"/>
      <c r="AZ25" s="12">
        <v>3</v>
      </c>
      <c r="BA25" s="13">
        <f>(TABELAS!D9)</f>
        <v>4190.84</v>
      </c>
      <c r="BB25" s="1"/>
      <c r="BC25" s="14">
        <f>(TABELAS!H8)</f>
        <v>0.12</v>
      </c>
      <c r="BD25" s="1">
        <v>22</v>
      </c>
      <c r="BE25" s="1">
        <v>4</v>
      </c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</row>
    <row r="26" spans="1:77" ht="19.5" customHeight="1">
      <c r="A26" s="1"/>
      <c r="B26" s="64" t="s">
        <v>38</v>
      </c>
      <c r="C26" s="52"/>
      <c r="D26" s="52"/>
      <c r="E26" s="52"/>
      <c r="F26" s="52"/>
      <c r="G26" s="52"/>
      <c r="H26" s="52"/>
      <c r="I26" s="52"/>
      <c r="J26" s="52"/>
      <c r="K26" s="53"/>
      <c r="L26" s="66">
        <f>IF(J12&lt;&gt;"DISPENSA DO EMPREGADO SEM JUSTA CAUSA", 0, IF(AD17="INDENIZADO", MIN(3, 1 + INT(L34/30)), MIN(3, INT(L34/30))))</f>
        <v>0</v>
      </c>
      <c r="M26" s="52"/>
      <c r="N26" s="53"/>
      <c r="O26" s="56">
        <f>ROUND((P17/12)*L26,2)</f>
        <v>0</v>
      </c>
      <c r="P26" s="52"/>
      <c r="Q26" s="52"/>
      <c r="R26" s="52"/>
      <c r="S26" s="57"/>
      <c r="T26" s="58" t="s">
        <v>39</v>
      </c>
      <c r="U26" s="52"/>
      <c r="V26" s="52"/>
      <c r="W26" s="52"/>
      <c r="X26" s="52"/>
      <c r="Y26" s="52"/>
      <c r="Z26" s="52"/>
      <c r="AA26" s="52"/>
      <c r="AB26" s="52"/>
      <c r="AC26" s="53"/>
      <c r="AD26" s="59" t="s">
        <v>40</v>
      </c>
      <c r="AE26" s="52"/>
      <c r="AF26" s="53"/>
      <c r="AG26" s="60">
        <v>0</v>
      </c>
      <c r="AH26" s="52"/>
      <c r="AI26" s="52"/>
      <c r="AJ26" s="52"/>
      <c r="AK26" s="57"/>
      <c r="AL26" s="1"/>
      <c r="AM26" s="1"/>
      <c r="AN26" s="1"/>
      <c r="AO26" s="1"/>
      <c r="AP26" s="1"/>
      <c r="AQ26" s="10">
        <f>SUM(O23,O24,O25,O26,O27,O28,O29,O30,O32,O31,O34,O35)</f>
        <v>0</v>
      </c>
      <c r="AR26" s="1"/>
      <c r="AS26" s="1">
        <f>(AS25-AR25)+1</f>
        <v>0</v>
      </c>
      <c r="AT26" s="1"/>
      <c r="AU26" s="1">
        <v>5</v>
      </c>
      <c r="AV26" s="1">
        <v>31</v>
      </c>
      <c r="AW26" s="1"/>
      <c r="AX26" s="1"/>
      <c r="AY26" s="1"/>
      <c r="AZ26" s="12">
        <v>4</v>
      </c>
      <c r="BA26" s="13">
        <f>(TABELAS!D10)</f>
        <v>8157.42</v>
      </c>
      <c r="BB26" s="1"/>
      <c r="BC26" s="14">
        <f>(TABELAS!H9)</f>
        <v>0.14000000000000001</v>
      </c>
      <c r="BD26" s="1">
        <v>23</v>
      </c>
      <c r="BE26" s="1">
        <v>4</v>
      </c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</row>
    <row r="27" spans="1:77" ht="19.5" customHeight="1">
      <c r="A27" s="1"/>
      <c r="B27" s="64" t="s">
        <v>41</v>
      </c>
      <c r="C27" s="52"/>
      <c r="D27" s="52"/>
      <c r="E27" s="52"/>
      <c r="F27" s="52"/>
      <c r="G27" s="52"/>
      <c r="H27" s="52"/>
      <c r="I27" s="52"/>
      <c r="J27" s="52"/>
      <c r="K27" s="53"/>
      <c r="L27" s="65">
        <f>IF(B20="SIM",1,0)</f>
        <v>0</v>
      </c>
      <c r="M27" s="52"/>
      <c r="N27" s="53"/>
      <c r="O27" s="56">
        <f>L27*P17</f>
        <v>0</v>
      </c>
      <c r="P27" s="52"/>
      <c r="Q27" s="52"/>
      <c r="R27" s="52"/>
      <c r="S27" s="57"/>
      <c r="T27" s="58" t="s">
        <v>23</v>
      </c>
      <c r="U27" s="52"/>
      <c r="V27" s="52"/>
      <c r="W27" s="52"/>
      <c r="X27" s="52"/>
      <c r="Y27" s="52"/>
      <c r="Z27" s="52"/>
      <c r="AA27" s="52"/>
      <c r="AB27" s="52"/>
      <c r="AC27" s="53"/>
      <c r="AD27" s="59" t="str">
        <f>IF(AR3=2,(1),("-"))</f>
        <v>-</v>
      </c>
      <c r="AE27" s="52"/>
      <c r="AF27" s="53"/>
      <c r="AG27" s="60" t="str">
        <f>IF(AD17="Ñ TRABALHADO", P17, "-")</f>
        <v>-</v>
      </c>
      <c r="AH27" s="52"/>
      <c r="AI27" s="52"/>
      <c r="AJ27" s="52"/>
      <c r="AK27" s="57"/>
      <c r="AL27" s="1"/>
      <c r="AM27" s="1"/>
      <c r="AN27" s="1"/>
      <c r="AO27" s="1"/>
      <c r="AP27" s="1"/>
      <c r="AQ27" s="1">
        <f>IF(AQ28&lt;=15,(1),(VLOOKUP(AQ29,AU22:AV33,2,FALSE)))</f>
        <v>1</v>
      </c>
      <c r="AR27" s="6">
        <f>DATE(AQ30,AQ29,AQ27)</f>
        <v>1</v>
      </c>
      <c r="AS27" s="6">
        <f>DATE(AQ33-1,AQ34,AQ35)</f>
        <v>693597</v>
      </c>
      <c r="AT27" s="1">
        <f>IF(AS27&lt;365,(0),(1))</f>
        <v>1</v>
      </c>
      <c r="AU27" s="1">
        <v>6</v>
      </c>
      <c r="AV27" s="1">
        <v>30</v>
      </c>
      <c r="AW27" s="1"/>
      <c r="AX27" s="1"/>
      <c r="AY27" s="1"/>
      <c r="AZ27" s="12">
        <v>5</v>
      </c>
      <c r="BA27" s="13">
        <f>(TABELAS!D10)-0.01</f>
        <v>8157.41</v>
      </c>
      <c r="BB27" s="1"/>
      <c r="BC27" s="14">
        <f>BC26</f>
        <v>0.14000000000000001</v>
      </c>
      <c r="BD27" s="1">
        <v>24</v>
      </c>
      <c r="BE27" s="1">
        <v>5</v>
      </c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</row>
    <row r="28" spans="1:77" ht="19.5" customHeight="1">
      <c r="A28" s="1"/>
      <c r="B28" s="64" t="s">
        <v>42</v>
      </c>
      <c r="C28" s="52"/>
      <c r="D28" s="52"/>
      <c r="E28" s="52"/>
      <c r="F28" s="52"/>
      <c r="G28" s="52"/>
      <c r="H28" s="52"/>
      <c r="I28" s="52"/>
      <c r="J28" s="52"/>
      <c r="K28" s="53"/>
      <c r="L28" s="65">
        <f>MIN(11, INT((YEAR(I17)*12 + MONTH(I17)) - (YEAR(B17)*12 + MONTH(B17))) + IF(DAY(I17)&gt;=15,1,0) - (QUOTIENT((INT((YEAR(I17)*12 + MONTH(I17)) - (YEAR(B17)*12 + MONTH(B17))) + IF(DAY(I17)&gt;=15,1,0)),12)*12))</f>
        <v>0</v>
      </c>
      <c r="M28" s="52"/>
      <c r="N28" s="53"/>
      <c r="O28" s="56">
        <f>(ROUND(P17/12,2)*L28)</f>
        <v>0</v>
      </c>
      <c r="P28" s="52"/>
      <c r="Q28" s="52"/>
      <c r="R28" s="52"/>
      <c r="S28" s="57"/>
      <c r="T28" s="58" t="s">
        <v>43</v>
      </c>
      <c r="U28" s="52"/>
      <c r="V28" s="52"/>
      <c r="W28" s="52"/>
      <c r="X28" s="52"/>
      <c r="Y28" s="52"/>
      <c r="Z28" s="52"/>
      <c r="AA28" s="52"/>
      <c r="AB28" s="52"/>
      <c r="AC28" s="53"/>
      <c r="AD28" s="61">
        <f>(AA20)</f>
        <v>0</v>
      </c>
      <c r="AE28" s="61"/>
      <c r="AF28" s="61"/>
      <c r="AG28" s="62">
        <f>(AS45)</f>
        <v>0</v>
      </c>
      <c r="AH28" s="62"/>
      <c r="AI28" s="62"/>
      <c r="AJ28" s="62"/>
      <c r="AK28" s="63"/>
      <c r="AL28" s="1"/>
      <c r="AM28" s="1"/>
      <c r="AN28" s="1"/>
      <c r="AO28" s="1"/>
      <c r="AP28" s="1"/>
      <c r="AQ28" s="1">
        <f>DAY(AR28)</f>
        <v>0</v>
      </c>
      <c r="AR28" s="8">
        <f>IF(I17-B17&gt;365,(AR32),(B17))</f>
        <v>0</v>
      </c>
      <c r="AS28" s="6">
        <f>DATE(AS30,AR30,AS29)</f>
        <v>1</v>
      </c>
      <c r="AT28" s="1">
        <f>IF(AS28&gt;AR28,(1),(0))</f>
        <v>1</v>
      </c>
      <c r="AU28" s="1">
        <v>7</v>
      </c>
      <c r="AV28" s="1">
        <v>31</v>
      </c>
      <c r="AW28" s="1"/>
      <c r="AX28" s="1"/>
      <c r="AY28" s="1"/>
      <c r="AZ28" s="1"/>
      <c r="BA28" s="1"/>
      <c r="BB28" s="1"/>
      <c r="BC28" s="14"/>
      <c r="BD28" s="1">
        <v>25</v>
      </c>
      <c r="BE28" s="1">
        <v>5</v>
      </c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</row>
    <row r="29" spans="1:77" ht="19.5" customHeight="1">
      <c r="A29" s="1"/>
      <c r="B29" s="64" t="s">
        <v>44</v>
      </c>
      <c r="C29" s="52"/>
      <c r="D29" s="52"/>
      <c r="E29" s="52"/>
      <c r="F29" s="52"/>
      <c r="G29" s="52"/>
      <c r="H29" s="52"/>
      <c r="I29" s="52"/>
      <c r="J29" s="52"/>
      <c r="K29" s="53"/>
      <c r="L29" s="66">
        <f>L26</f>
        <v>0</v>
      </c>
      <c r="M29" s="52"/>
      <c r="N29" s="53"/>
      <c r="O29" s="56">
        <f>O26</f>
        <v>0</v>
      </c>
      <c r="P29" s="52"/>
      <c r="Q29" s="52"/>
      <c r="R29" s="52"/>
      <c r="S29" s="57"/>
      <c r="T29" s="58" t="s">
        <v>81</v>
      </c>
      <c r="U29" s="52"/>
      <c r="V29" s="52"/>
      <c r="W29" s="52"/>
      <c r="X29" s="52"/>
      <c r="Y29" s="52"/>
      <c r="Z29" s="52"/>
      <c r="AA29" s="52"/>
      <c r="AB29" s="52"/>
      <c r="AC29" s="53"/>
      <c r="AD29" s="59" t="s">
        <v>40</v>
      </c>
      <c r="AE29" s="52"/>
      <c r="AF29" s="53"/>
      <c r="AG29" s="60"/>
      <c r="AH29" s="52"/>
      <c r="AI29" s="52"/>
      <c r="AJ29" s="52"/>
      <c r="AK29" s="57"/>
      <c r="AL29" s="1"/>
      <c r="AM29" s="1"/>
      <c r="AN29" s="1"/>
      <c r="AO29" s="1"/>
      <c r="AP29" s="1"/>
      <c r="AQ29" s="1">
        <f>MONTH(AR28)</f>
        <v>1</v>
      </c>
      <c r="AR29" s="1">
        <f>DAY(I17)</f>
        <v>0</v>
      </c>
      <c r="AS29" s="1">
        <f>IF(AR29&gt;=15,(VLOOKUP(AR30,AU22:AV33,2,FALSE)),(1))</f>
        <v>1</v>
      </c>
      <c r="AT29" s="1"/>
      <c r="AU29" s="1">
        <v>8</v>
      </c>
      <c r="AV29" s="1">
        <v>31</v>
      </c>
      <c r="AW29" s="1"/>
      <c r="AX29" s="1"/>
      <c r="AY29" s="1"/>
      <c r="AZ29" s="1"/>
      <c r="BA29" s="1"/>
      <c r="BB29" s="1"/>
      <c r="BC29" s="14">
        <f>VLOOKUP(BB22,AZ23:BC27,4,FALSE)</f>
        <v>7.4999999999999997E-2</v>
      </c>
      <c r="BD29" s="1">
        <v>0</v>
      </c>
      <c r="BE29" s="1">
        <v>0</v>
      </c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</row>
    <row r="30" spans="1:77" ht="19.5" customHeight="1">
      <c r="A30" s="1"/>
      <c r="B30" s="64" t="s">
        <v>45</v>
      </c>
      <c r="C30" s="52"/>
      <c r="D30" s="52"/>
      <c r="E30" s="52"/>
      <c r="F30" s="52"/>
      <c r="G30" s="52"/>
      <c r="H30" s="52"/>
      <c r="I30" s="52"/>
      <c r="J30" s="52"/>
      <c r="K30" s="53"/>
      <c r="L30" s="67" t="s">
        <v>46</v>
      </c>
      <c r="M30" s="52"/>
      <c r="N30" s="53"/>
      <c r="O30" s="56">
        <f>SUM(O27:S29)/3</f>
        <v>0</v>
      </c>
      <c r="P30" s="52"/>
      <c r="Q30" s="52"/>
      <c r="R30" s="52"/>
      <c r="S30" s="57"/>
      <c r="T30" s="58" t="s">
        <v>77</v>
      </c>
      <c r="U30" s="52"/>
      <c r="V30" s="52"/>
      <c r="W30" s="52"/>
      <c r="X30" s="52"/>
      <c r="Y30" s="52"/>
      <c r="Z30" s="52"/>
      <c r="AA30" s="52"/>
      <c r="AB30" s="52"/>
      <c r="AC30" s="53"/>
      <c r="AD30" s="59" t="s">
        <v>40</v>
      </c>
      <c r="AE30" s="52"/>
      <c r="AF30" s="53"/>
      <c r="AG30" s="60"/>
      <c r="AH30" s="52"/>
      <c r="AI30" s="52"/>
      <c r="AJ30" s="52"/>
      <c r="AK30" s="57"/>
      <c r="AL30" s="1"/>
      <c r="AM30" s="1"/>
      <c r="AN30" s="1"/>
      <c r="AO30" s="1"/>
      <c r="AP30" s="1"/>
      <c r="AQ30" s="1">
        <f>YEAR(AR28)</f>
        <v>1900</v>
      </c>
      <c r="AR30" s="1">
        <f>MONTH(I17)</f>
        <v>1</v>
      </c>
      <c r="AS30" s="1">
        <f>YEAR(I17)</f>
        <v>1900</v>
      </c>
      <c r="AT30" s="1"/>
      <c r="AU30" s="1">
        <v>9</v>
      </c>
      <c r="AV30" s="1">
        <v>30</v>
      </c>
      <c r="AW30" s="1"/>
      <c r="AX30" s="1"/>
      <c r="AY30" s="1"/>
      <c r="AZ30" s="1"/>
      <c r="BA30" s="1"/>
      <c r="BB30" s="1"/>
      <c r="BC30" s="14">
        <f>VLOOKUP(BC22,AZ23:BC27,4,FALSE)</f>
        <v>7.4999999999999997E-2</v>
      </c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</row>
    <row r="31" spans="1:77" ht="19.5" customHeight="1">
      <c r="A31" s="1"/>
      <c r="B31" s="51" t="s">
        <v>47</v>
      </c>
      <c r="C31" s="52"/>
      <c r="D31" s="52"/>
      <c r="E31" s="52"/>
      <c r="F31" s="52"/>
      <c r="G31" s="53"/>
      <c r="H31" s="54">
        <f>(I20)</f>
        <v>0.5</v>
      </c>
      <c r="I31" s="52"/>
      <c r="J31" s="52"/>
      <c r="K31" s="53"/>
      <c r="L31" s="55">
        <f>(M20)</f>
        <v>0</v>
      </c>
      <c r="M31" s="52"/>
      <c r="N31" s="53"/>
      <c r="O31" s="56">
        <f>(P17 / 220) * 1.5 * (L31 * 24)</f>
        <v>0</v>
      </c>
      <c r="P31" s="52"/>
      <c r="Q31" s="52"/>
      <c r="R31" s="52"/>
      <c r="S31" s="57"/>
      <c r="T31" s="58" t="s">
        <v>78</v>
      </c>
      <c r="U31" s="52"/>
      <c r="V31" s="52"/>
      <c r="W31" s="52"/>
      <c r="X31" s="52"/>
      <c r="Y31" s="52"/>
      <c r="Z31" s="52"/>
      <c r="AA31" s="52"/>
      <c r="AB31" s="52"/>
      <c r="AC31" s="53"/>
      <c r="AD31" s="59" t="s">
        <v>40</v>
      </c>
      <c r="AE31" s="52"/>
      <c r="AF31" s="53"/>
      <c r="AG31" s="60"/>
      <c r="AH31" s="52"/>
      <c r="AI31" s="52"/>
      <c r="AJ31" s="52"/>
      <c r="AK31" s="57"/>
      <c r="AL31" s="1"/>
      <c r="AM31" s="1"/>
      <c r="AN31" s="1"/>
      <c r="AO31" s="1"/>
      <c r="AP31" s="1"/>
      <c r="AQ31" s="1"/>
      <c r="AR31" s="1">
        <f>IF(AR32&gt;AS28,(1),(0))</f>
        <v>0</v>
      </c>
      <c r="AS31" s="1">
        <f>(AS28-AR28)</f>
        <v>1</v>
      </c>
      <c r="AT31" s="1"/>
      <c r="AU31" s="1">
        <v>10</v>
      </c>
      <c r="AV31" s="1">
        <v>31</v>
      </c>
      <c r="AW31" s="1"/>
      <c r="AX31" s="1"/>
      <c r="AY31" s="1"/>
      <c r="AZ31" s="1">
        <v>0</v>
      </c>
      <c r="BA31" s="1"/>
      <c r="BB31" s="1"/>
      <c r="BC31" s="1"/>
      <c r="BD31" s="1">
        <v>0</v>
      </c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</row>
    <row r="32" spans="1:77" ht="19.5" customHeight="1">
      <c r="A32" s="1"/>
      <c r="B32" s="51" t="str">
        <f>CONCATENATE("HORA EXTRA ",I22)</f>
        <v xml:space="preserve">HORA EXTRA </v>
      </c>
      <c r="C32" s="52"/>
      <c r="D32" s="52"/>
      <c r="E32" s="52"/>
      <c r="F32" s="52"/>
      <c r="G32" s="53"/>
      <c r="H32" s="54">
        <v>1</v>
      </c>
      <c r="I32" s="52"/>
      <c r="J32" s="52"/>
      <c r="K32" s="53"/>
      <c r="L32" s="55">
        <f>(T20)</f>
        <v>0</v>
      </c>
      <c r="M32" s="52"/>
      <c r="N32" s="53"/>
      <c r="O32" s="56">
        <f>(P17 / 220) * 2 * (L32 * 24)</f>
        <v>0</v>
      </c>
      <c r="P32" s="52"/>
      <c r="Q32" s="52"/>
      <c r="R32" s="52"/>
      <c r="S32" s="57"/>
      <c r="T32" s="58" t="s">
        <v>79</v>
      </c>
      <c r="U32" s="52"/>
      <c r="V32" s="52"/>
      <c r="W32" s="52"/>
      <c r="X32" s="52"/>
      <c r="Y32" s="52"/>
      <c r="Z32" s="52"/>
      <c r="AA32" s="52"/>
      <c r="AB32" s="52"/>
      <c r="AC32" s="53"/>
      <c r="AD32" s="59" t="s">
        <v>40</v>
      </c>
      <c r="AE32" s="52"/>
      <c r="AF32" s="53"/>
      <c r="AG32" s="60"/>
      <c r="AH32" s="52"/>
      <c r="AI32" s="52"/>
      <c r="AJ32" s="52"/>
      <c r="AK32" s="57"/>
      <c r="AL32" s="1"/>
      <c r="AM32" s="1"/>
      <c r="AN32" s="1"/>
      <c r="AO32" s="1"/>
      <c r="AP32" s="1"/>
      <c r="AQ32" s="1">
        <f>YEAR(I17)</f>
        <v>1900</v>
      </c>
      <c r="AR32" s="6">
        <f>DATE(AQ33,AQ34,AQ35)</f>
        <v>0</v>
      </c>
      <c r="AS32" s="1"/>
      <c r="AT32" s="1"/>
      <c r="AU32" s="1">
        <v>11</v>
      </c>
      <c r="AV32" s="1">
        <v>30</v>
      </c>
      <c r="AW32" s="1"/>
      <c r="AX32" s="1"/>
      <c r="AY32" s="1"/>
      <c r="AZ32" s="1">
        <v>1</v>
      </c>
      <c r="BA32" s="10">
        <f>(TABELAS!E15)</f>
        <v>1372.81</v>
      </c>
      <c r="BB32" s="1"/>
      <c r="BC32" s="15">
        <f>(TABELAS!G15)</f>
        <v>0</v>
      </c>
      <c r="BD32" s="1">
        <v>0</v>
      </c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</row>
    <row r="33" spans="1:77" ht="19.5" customHeight="1">
      <c r="A33" s="1"/>
      <c r="B33" s="64" t="s">
        <v>48</v>
      </c>
      <c r="C33" s="52"/>
      <c r="D33" s="52"/>
      <c r="E33" s="52"/>
      <c r="F33" s="52"/>
      <c r="G33" s="52"/>
      <c r="H33" s="52"/>
      <c r="I33" s="52"/>
      <c r="J33" s="52"/>
      <c r="K33" s="53"/>
      <c r="L33" s="65">
        <f>IF(J12="TÉRMINO DE CONTRATO DE TRABALHO A TERMO", 0, IF(AD17="INDENIZADO", 1, 0))</f>
        <v>0</v>
      </c>
      <c r="M33" s="52"/>
      <c r="N33" s="53"/>
      <c r="O33" s="56">
        <f>L33*P17</f>
        <v>0</v>
      </c>
      <c r="P33" s="52"/>
      <c r="Q33" s="52"/>
      <c r="R33" s="52"/>
      <c r="S33" s="57"/>
      <c r="T33" s="58" t="s">
        <v>40</v>
      </c>
      <c r="U33" s="52"/>
      <c r="V33" s="52"/>
      <c r="W33" s="52"/>
      <c r="X33" s="52"/>
      <c r="Y33" s="52"/>
      <c r="Z33" s="52"/>
      <c r="AA33" s="52"/>
      <c r="AB33" s="52"/>
      <c r="AC33" s="53"/>
      <c r="AD33" s="59" t="s">
        <v>40</v>
      </c>
      <c r="AE33" s="52"/>
      <c r="AF33" s="53"/>
      <c r="AG33" s="60">
        <v>0</v>
      </c>
      <c r="AH33" s="52"/>
      <c r="AI33" s="52"/>
      <c r="AJ33" s="52"/>
      <c r="AK33" s="57"/>
      <c r="AL33" s="1"/>
      <c r="AM33" s="1"/>
      <c r="AN33" s="1"/>
      <c r="AO33" s="1"/>
      <c r="AP33" s="1"/>
      <c r="AQ33" s="1">
        <f>(AQ32)</f>
        <v>1900</v>
      </c>
      <c r="AR33" s="1">
        <f>IF(AS33&lt;=14,(0),(IF(AS33&lt;=30,(30),(AS33))))</f>
        <v>0</v>
      </c>
      <c r="AS33" s="1">
        <f>IF(AR31=1,(AS28-AS27),(AS28-AR28))</f>
        <v>1</v>
      </c>
      <c r="AT33" s="1">
        <f>(AT34-1)</f>
        <v>1</v>
      </c>
      <c r="AU33" s="1">
        <v>12</v>
      </c>
      <c r="AV33" s="1">
        <v>31</v>
      </c>
      <c r="AW33" s="1"/>
      <c r="AX33" s="1"/>
      <c r="AY33" s="1"/>
      <c r="AZ33" s="1">
        <v>2</v>
      </c>
      <c r="BA33" s="10">
        <f>(TABELAS!E16)</f>
        <v>2743.25</v>
      </c>
      <c r="BB33" s="1"/>
      <c r="BC33" s="15">
        <f>(TABELAS!G16)</f>
        <v>0.15</v>
      </c>
      <c r="BD33" s="10">
        <f>(TABELAS!H16)</f>
        <v>197.05</v>
      </c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</row>
    <row r="34" spans="1:77" ht="19.5" customHeight="1">
      <c r="A34" s="1"/>
      <c r="B34" s="64" t="s">
        <v>49</v>
      </c>
      <c r="C34" s="52"/>
      <c r="D34" s="52"/>
      <c r="E34" s="52"/>
      <c r="F34" s="52"/>
      <c r="G34" s="52"/>
      <c r="H34" s="52"/>
      <c r="I34" s="52"/>
      <c r="J34" s="52"/>
      <c r="K34" s="53"/>
      <c r="L34" s="65">
        <f>IF(J12&lt;&gt;"DISPENSA DO EMPREGADO SEM JUSTA CAUSA", 0, TRUNC(W17/12, 0)*3)</f>
        <v>0</v>
      </c>
      <c r="M34" s="52"/>
      <c r="N34" s="53"/>
      <c r="O34" s="56">
        <f>ROUND((P17/30)*L34,2)</f>
        <v>0</v>
      </c>
      <c r="P34" s="52"/>
      <c r="Q34" s="52"/>
      <c r="R34" s="52"/>
      <c r="S34" s="57"/>
      <c r="T34" s="58" t="s">
        <v>40</v>
      </c>
      <c r="U34" s="52"/>
      <c r="V34" s="52"/>
      <c r="W34" s="52"/>
      <c r="X34" s="52"/>
      <c r="Y34" s="52"/>
      <c r="Z34" s="52"/>
      <c r="AA34" s="52"/>
      <c r="AB34" s="52"/>
      <c r="AC34" s="53"/>
      <c r="AD34" s="59" t="s">
        <v>40</v>
      </c>
      <c r="AE34" s="52"/>
      <c r="AF34" s="53"/>
      <c r="AG34" s="60">
        <v>0</v>
      </c>
      <c r="AH34" s="52"/>
      <c r="AI34" s="52"/>
      <c r="AJ34" s="52"/>
      <c r="AK34" s="57"/>
      <c r="AL34" s="1"/>
      <c r="AM34" s="1"/>
      <c r="AN34" s="1"/>
      <c r="AO34" s="1"/>
      <c r="AP34" s="1"/>
      <c r="AQ34" s="1">
        <f>MONTH(B17)</f>
        <v>1</v>
      </c>
      <c r="AR34" s="11">
        <f>(AR33/30)</f>
        <v>0</v>
      </c>
      <c r="AS34" s="11">
        <f>IF(AR34&lt;=1,(1.01),(AR34))</f>
        <v>1.01</v>
      </c>
      <c r="AT34" s="1">
        <f>SEARCH(",",AQ36,1)</f>
        <v>2</v>
      </c>
      <c r="AU34" s="1"/>
      <c r="AV34" s="1"/>
      <c r="AW34" s="1"/>
      <c r="AX34" s="1"/>
      <c r="AY34" s="1"/>
      <c r="AZ34" s="1">
        <v>3</v>
      </c>
      <c r="BA34" s="10">
        <f>(TABELAS!E17)</f>
        <v>2743.25</v>
      </c>
      <c r="BB34" s="1"/>
      <c r="BC34" s="15">
        <f>(TABELAS!G17)</f>
        <v>0.27500000000000002</v>
      </c>
      <c r="BD34" s="10">
        <f>(TABELAS!H17)</f>
        <v>525.19000000000005</v>
      </c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</row>
    <row r="35" spans="1:77" ht="19.5" customHeight="1">
      <c r="A35" s="1"/>
      <c r="B35" s="102"/>
      <c r="C35" s="103"/>
      <c r="D35" s="103"/>
      <c r="E35" s="103"/>
      <c r="F35" s="103"/>
      <c r="G35" s="103"/>
      <c r="H35" s="103"/>
      <c r="I35" s="103"/>
      <c r="J35" s="103"/>
      <c r="K35" s="104"/>
      <c r="L35" s="105"/>
      <c r="M35" s="103"/>
      <c r="N35" s="104"/>
      <c r="O35" s="106"/>
      <c r="P35" s="103"/>
      <c r="Q35" s="103"/>
      <c r="R35" s="103"/>
      <c r="S35" s="107"/>
      <c r="T35" s="102" t="s">
        <v>40</v>
      </c>
      <c r="U35" s="103"/>
      <c r="V35" s="103"/>
      <c r="W35" s="103"/>
      <c r="X35" s="103"/>
      <c r="Y35" s="103"/>
      <c r="Z35" s="103"/>
      <c r="AA35" s="103"/>
      <c r="AB35" s="103"/>
      <c r="AC35" s="104"/>
      <c r="AD35" s="105" t="s">
        <v>40</v>
      </c>
      <c r="AE35" s="103"/>
      <c r="AF35" s="104"/>
      <c r="AG35" s="106">
        <v>0</v>
      </c>
      <c r="AH35" s="103"/>
      <c r="AI35" s="103"/>
      <c r="AJ35" s="103"/>
      <c r="AK35" s="107"/>
      <c r="AL35" s="1"/>
      <c r="AM35" s="1"/>
      <c r="AN35" s="1"/>
      <c r="AO35" s="1"/>
      <c r="AP35" s="1"/>
      <c r="AQ35" s="1">
        <f>DAY(B17)</f>
        <v>0</v>
      </c>
      <c r="AR35" s="1" t="str">
        <f>MID(AR34,1,2)</f>
        <v>0</v>
      </c>
      <c r="AS35" s="1" t="str">
        <f>MID(AR34,1,AT33)</f>
        <v>0</v>
      </c>
      <c r="AT35" s="1">
        <f>VALUE(AS35)</f>
        <v>0</v>
      </c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</row>
    <row r="36" spans="1:77" ht="19.5" customHeight="1">
      <c r="A36" s="1"/>
      <c r="B36" s="118" t="s">
        <v>50</v>
      </c>
      <c r="C36" s="119"/>
      <c r="D36" s="119"/>
      <c r="E36" s="119"/>
      <c r="F36" s="119"/>
      <c r="G36" s="119"/>
      <c r="H36" s="119"/>
      <c r="I36" s="119"/>
      <c r="J36" s="119"/>
      <c r="K36" s="119"/>
      <c r="L36" s="120">
        <f>SUM(O23:S35)</f>
        <v>0</v>
      </c>
      <c r="M36" s="121"/>
      <c r="N36" s="121"/>
      <c r="O36" s="121"/>
      <c r="P36" s="121"/>
      <c r="Q36" s="121"/>
      <c r="R36" s="121"/>
      <c r="S36" s="122"/>
      <c r="T36" s="108" t="s">
        <v>51</v>
      </c>
      <c r="U36" s="109"/>
      <c r="V36" s="109"/>
      <c r="W36" s="109"/>
      <c r="X36" s="109"/>
      <c r="Y36" s="109"/>
      <c r="Z36" s="109"/>
      <c r="AA36" s="109"/>
      <c r="AB36" s="109"/>
      <c r="AC36" s="109"/>
      <c r="AD36" s="110">
        <f>SUM(AG23:AK35)</f>
        <v>0</v>
      </c>
      <c r="AE36" s="109"/>
      <c r="AF36" s="109"/>
      <c r="AG36" s="109"/>
      <c r="AH36" s="109"/>
      <c r="AI36" s="109"/>
      <c r="AJ36" s="109"/>
      <c r="AK36" s="111"/>
      <c r="AL36" s="1"/>
      <c r="AM36" s="1"/>
      <c r="AN36" s="1"/>
      <c r="AO36" s="1"/>
      <c r="AP36" s="1"/>
      <c r="AQ36" s="11">
        <f>(AR34+0.000001)</f>
        <v>9.9999999999999995E-7</v>
      </c>
      <c r="AR36" s="1"/>
      <c r="AS36" s="1">
        <f>(AS35+AS37)</f>
        <v>1</v>
      </c>
      <c r="AT36" s="1">
        <f>(AT34)+1</f>
        <v>3</v>
      </c>
      <c r="AU36" s="1"/>
      <c r="AV36" s="1"/>
      <c r="AW36" s="1"/>
      <c r="AX36" s="1"/>
      <c r="AY36" s="1"/>
      <c r="AZ36" s="1"/>
      <c r="BA36" s="1">
        <f>IF(BD41&lt;BA32,(1),(IF(BD41&lt;BA33,(2),IF(BD41&gt;=BA34,(3),(0)))))</f>
        <v>1</v>
      </c>
      <c r="BB36" s="1"/>
      <c r="BC36" s="15">
        <f>VLOOKUP(BA36,AZ31:BC34,4,FALSE)</f>
        <v>0</v>
      </c>
      <c r="BD36" s="10">
        <f>VLOOKUP(BA36,AZ31:BD34,5,FALSE)</f>
        <v>0</v>
      </c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</row>
    <row r="37" spans="1:77" ht="19.5" customHeight="1">
      <c r="A37" s="1"/>
      <c r="B37" s="112" t="s">
        <v>80</v>
      </c>
      <c r="C37" s="113"/>
      <c r="D37" s="113"/>
      <c r="E37" s="113"/>
      <c r="F37" s="113"/>
      <c r="G37" s="113"/>
      <c r="H37" s="113"/>
      <c r="I37" s="113"/>
      <c r="J37" s="113"/>
      <c r="K37" s="114"/>
      <c r="L37" s="115">
        <f>(L36-AD36)</f>
        <v>0</v>
      </c>
      <c r="M37" s="113"/>
      <c r="N37" s="113"/>
      <c r="O37" s="113"/>
      <c r="P37" s="113"/>
      <c r="Q37" s="113"/>
      <c r="R37" s="113"/>
      <c r="S37" s="116"/>
      <c r="T37" s="16"/>
      <c r="U37" s="117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1"/>
      <c r="AM37" s="1"/>
      <c r="AN37" s="1"/>
      <c r="AO37" s="1"/>
      <c r="AP37" s="1"/>
      <c r="AQ37" s="1"/>
      <c r="AR37" s="9">
        <f>(I20)</f>
        <v>0.5</v>
      </c>
      <c r="AS37" s="1">
        <f>IF(AT37&gt;50,(1),(0))</f>
        <v>1</v>
      </c>
      <c r="AT37" s="1" t="str">
        <f>MID(AR34,AT36,2)</f>
        <v/>
      </c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</row>
    <row r="38" spans="1:77" ht="12" customHeight="1">
      <c r="A38" s="1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1"/>
      <c r="AM38" s="1"/>
      <c r="AN38" s="1"/>
      <c r="AO38" s="1"/>
      <c r="AP38" s="1"/>
      <c r="AQ38" s="1"/>
      <c r="AR38" s="10">
        <f>(P17/220)</f>
        <v>0</v>
      </c>
      <c r="AS38" s="1"/>
      <c r="AT38" s="1"/>
      <c r="AU38" s="1"/>
      <c r="AV38" s="1"/>
      <c r="AW38" s="1"/>
      <c r="AX38" s="1"/>
      <c r="AY38" s="1"/>
      <c r="AZ38" s="1"/>
      <c r="BA38" s="17" t="s">
        <v>52</v>
      </c>
      <c r="BB38" s="17"/>
      <c r="BC38" s="1"/>
      <c r="BD38" s="10">
        <f>(AQ25)</f>
        <v>0</v>
      </c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</row>
    <row r="39" spans="1:77" ht="19.5" customHeight="1">
      <c r="A39" s="1"/>
      <c r="B39" s="73" t="s">
        <v>53</v>
      </c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5"/>
      <c r="T39" s="98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5"/>
      <c r="AM39" s="1"/>
      <c r="AN39" s="1"/>
      <c r="AO39" s="1"/>
      <c r="AP39" s="1"/>
      <c r="AQ39" s="1"/>
      <c r="AR39" s="1">
        <f>(AR38*AR37)</f>
        <v>0</v>
      </c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 t="s">
        <v>54</v>
      </c>
      <c r="BD39" s="10">
        <f>(TABELAS!F18*RESCISÃO!AH20)</f>
        <v>0</v>
      </c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</row>
    <row r="40" spans="1:77" ht="19.5" customHeight="1">
      <c r="A40" s="1"/>
      <c r="B40" s="76" t="s">
        <v>55</v>
      </c>
      <c r="C40" s="77"/>
      <c r="D40" s="77"/>
      <c r="E40" s="77"/>
      <c r="F40" s="77"/>
      <c r="G40" s="77"/>
      <c r="H40" s="77"/>
      <c r="I40" s="77"/>
      <c r="J40" s="78"/>
      <c r="K40" s="79">
        <f>(P17*0.08)*W17</f>
        <v>0</v>
      </c>
      <c r="L40" s="77"/>
      <c r="M40" s="77"/>
      <c r="N40" s="77"/>
      <c r="O40" s="77"/>
      <c r="P40" s="77"/>
      <c r="Q40" s="77"/>
      <c r="R40" s="77"/>
      <c r="S40" s="80"/>
      <c r="T40" s="99"/>
      <c r="U40" s="69"/>
      <c r="V40" s="69"/>
      <c r="W40" s="69"/>
      <c r="X40" s="69"/>
      <c r="Y40" s="69"/>
      <c r="Z40" s="69"/>
      <c r="AA40" s="69"/>
      <c r="AB40" s="69"/>
      <c r="AC40" s="69"/>
      <c r="AD40" s="100"/>
      <c r="AE40" s="69"/>
      <c r="AF40" s="69"/>
      <c r="AG40" s="69"/>
      <c r="AH40" s="69"/>
      <c r="AI40" s="69"/>
      <c r="AJ40" s="69"/>
      <c r="AK40" s="69"/>
      <c r="AL40" s="18"/>
      <c r="AM40" s="1"/>
      <c r="AN40" s="1"/>
      <c r="AO40" s="1"/>
      <c r="AP40" s="1"/>
      <c r="AQ40" s="1"/>
      <c r="AR40" s="1"/>
      <c r="AS40" s="1"/>
      <c r="AT40" s="19">
        <v>4.1666666666666664E-2</v>
      </c>
      <c r="AU40" s="1"/>
      <c r="AV40" s="1"/>
      <c r="AW40" s="1"/>
      <c r="AX40" s="1"/>
      <c r="AY40" s="1"/>
      <c r="AZ40" s="1"/>
      <c r="BA40" s="1"/>
      <c r="BB40" s="1"/>
      <c r="BC40" s="1" t="s">
        <v>56</v>
      </c>
      <c r="BD40" s="10">
        <f>SUM(AG23:AK24)</f>
        <v>0</v>
      </c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</row>
    <row r="41" spans="1:77" ht="19.5" customHeight="1">
      <c r="A41" s="1"/>
      <c r="B41" s="81" t="s">
        <v>57</v>
      </c>
      <c r="C41" s="52"/>
      <c r="D41" s="52"/>
      <c r="E41" s="52"/>
      <c r="F41" s="52"/>
      <c r="G41" s="52"/>
      <c r="H41" s="52"/>
      <c r="I41" s="52"/>
      <c r="J41" s="53"/>
      <c r="K41" s="82">
        <f>IF(J12&lt;&gt;"DISPENSA DO EMPREGADO SEM JUSTA CAUSA", 0, K40*40%)</f>
        <v>0</v>
      </c>
      <c r="L41" s="52"/>
      <c r="M41" s="52"/>
      <c r="N41" s="52"/>
      <c r="O41" s="52"/>
      <c r="P41" s="52"/>
      <c r="Q41" s="52"/>
      <c r="R41" s="52"/>
      <c r="S41" s="83"/>
      <c r="T41" s="99"/>
      <c r="U41" s="69"/>
      <c r="V41" s="69"/>
      <c r="W41" s="69"/>
      <c r="X41" s="69"/>
      <c r="Y41" s="69"/>
      <c r="Z41" s="69"/>
      <c r="AA41" s="69"/>
      <c r="AB41" s="69"/>
      <c r="AC41" s="69"/>
      <c r="AD41" s="101"/>
      <c r="AE41" s="69"/>
      <c r="AF41" s="69"/>
      <c r="AG41" s="69"/>
      <c r="AH41" s="69"/>
      <c r="AI41" s="69"/>
      <c r="AJ41" s="69"/>
      <c r="AK41" s="69"/>
      <c r="AL41" s="3"/>
      <c r="AM41" s="1"/>
      <c r="AN41" s="1"/>
      <c r="AO41" s="1"/>
      <c r="AP41" s="1"/>
      <c r="AQ41" s="1"/>
      <c r="AR41" s="10">
        <f>SUM(AR38+AR39)</f>
        <v>0</v>
      </c>
      <c r="AS41" s="1">
        <f>(AR38*2)</f>
        <v>0</v>
      </c>
      <c r="AT41" s="1">
        <f>VALUE(AT40)</f>
        <v>4.1666666666666664E-2</v>
      </c>
      <c r="AU41" s="1"/>
      <c r="AV41" s="1"/>
      <c r="AW41" s="1"/>
      <c r="AX41" s="1"/>
      <c r="AY41" s="1"/>
      <c r="AZ41" s="1"/>
      <c r="BA41" s="1"/>
      <c r="BB41" s="1"/>
      <c r="BC41" s="1"/>
      <c r="BD41" s="10">
        <f>(BD38-BD39-BD40)</f>
        <v>0</v>
      </c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</row>
    <row r="42" spans="1:77" ht="19.5" customHeight="1">
      <c r="A42" s="1"/>
      <c r="B42" s="84" t="s">
        <v>58</v>
      </c>
      <c r="C42" s="52"/>
      <c r="D42" s="52"/>
      <c r="E42" s="52"/>
      <c r="F42" s="52"/>
      <c r="G42" s="52"/>
      <c r="H42" s="52"/>
      <c r="I42" s="52"/>
      <c r="J42" s="53"/>
      <c r="K42" s="60">
        <f>SUM(O23,O24,O25,O31,O32,O34,O35)*8%</f>
        <v>0</v>
      </c>
      <c r="L42" s="52"/>
      <c r="M42" s="52"/>
      <c r="N42" s="52"/>
      <c r="O42" s="52"/>
      <c r="P42" s="52"/>
      <c r="Q42" s="52"/>
      <c r="R42" s="52"/>
      <c r="S42" s="83"/>
      <c r="T42" s="99"/>
      <c r="U42" s="69"/>
      <c r="V42" s="69"/>
      <c r="W42" s="69"/>
      <c r="X42" s="69"/>
      <c r="Y42" s="69"/>
      <c r="Z42" s="69"/>
      <c r="AA42" s="69"/>
      <c r="AB42" s="69"/>
      <c r="AC42" s="69"/>
      <c r="AD42" s="100"/>
      <c r="AE42" s="69"/>
      <c r="AF42" s="69"/>
      <c r="AG42" s="69"/>
      <c r="AH42" s="69"/>
      <c r="AI42" s="69"/>
      <c r="AJ42" s="69"/>
      <c r="AK42" s="69"/>
      <c r="AL42" s="18"/>
      <c r="AM42" s="1"/>
      <c r="AN42" s="1"/>
      <c r="AO42" s="1"/>
      <c r="AP42" s="1"/>
      <c r="AQ42" s="1">
        <f>(K41*80%)</f>
        <v>0</v>
      </c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0">
        <f>(BD41*BC36)</f>
        <v>0</v>
      </c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</row>
    <row r="43" spans="1:77" ht="19.5" customHeight="1">
      <c r="A43" s="1"/>
      <c r="B43" s="84" t="s">
        <v>59</v>
      </c>
      <c r="C43" s="52"/>
      <c r="D43" s="52"/>
      <c r="E43" s="52"/>
      <c r="F43" s="52"/>
      <c r="G43" s="52"/>
      <c r="H43" s="52"/>
      <c r="I43" s="52"/>
      <c r="J43" s="53"/>
      <c r="K43" s="60">
        <f>SUM(O33)*8%</f>
        <v>0</v>
      </c>
      <c r="L43" s="52"/>
      <c r="M43" s="52"/>
      <c r="N43" s="52"/>
      <c r="O43" s="52"/>
      <c r="P43" s="52"/>
      <c r="Q43" s="52"/>
      <c r="R43" s="52"/>
      <c r="S43" s="83"/>
      <c r="T43" s="85"/>
      <c r="U43" s="71"/>
      <c r="V43" s="71"/>
      <c r="W43" s="71"/>
      <c r="X43" s="71"/>
      <c r="Y43" s="71"/>
      <c r="Z43" s="71"/>
      <c r="AA43" s="71"/>
      <c r="AB43" s="71"/>
      <c r="AC43" s="72"/>
      <c r="AD43" s="86"/>
      <c r="AE43" s="71"/>
      <c r="AF43" s="71"/>
      <c r="AG43" s="71"/>
      <c r="AH43" s="71"/>
      <c r="AI43" s="71"/>
      <c r="AJ43" s="71"/>
      <c r="AK43" s="72"/>
      <c r="AL43" s="20"/>
      <c r="AM43" s="1"/>
      <c r="AN43" s="1"/>
      <c r="AO43" s="1"/>
      <c r="AP43" s="1"/>
      <c r="AQ43" s="1">
        <f>VALUE(M20)</f>
        <v>0</v>
      </c>
      <c r="AR43" s="10">
        <f>(AQ43/AT41)</f>
        <v>0</v>
      </c>
      <c r="AS43" s="1">
        <f>(AR41*AR43)</f>
        <v>0</v>
      </c>
      <c r="AT43" s="1"/>
      <c r="AU43" s="1"/>
      <c r="AV43" s="1"/>
      <c r="AW43" s="1"/>
      <c r="AX43" s="1"/>
      <c r="AY43" s="1"/>
      <c r="AZ43" s="1"/>
      <c r="BA43" s="10">
        <f>IF(AD40&lt;TABELAS!E23,(AD40),(TABELAS!E23))</f>
        <v>0</v>
      </c>
      <c r="BB43" s="1">
        <f>(BA43*80%)</f>
        <v>0</v>
      </c>
      <c r="BC43" s="1"/>
      <c r="BD43" s="10">
        <f>(BD42-BD36)</f>
        <v>0</v>
      </c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</row>
    <row r="44" spans="1:77" ht="19.5" customHeight="1">
      <c r="A44" s="1"/>
      <c r="B44" s="87" t="s">
        <v>60</v>
      </c>
      <c r="C44" s="69"/>
      <c r="D44" s="69"/>
      <c r="E44" s="69"/>
      <c r="F44" s="69"/>
      <c r="G44" s="69"/>
      <c r="H44" s="69"/>
      <c r="I44" s="69"/>
      <c r="J44" s="88"/>
      <c r="K44" s="89">
        <f>SUM(K40,AQ42,K42,K43)</f>
        <v>0</v>
      </c>
      <c r="L44" s="90"/>
      <c r="M44" s="90"/>
      <c r="N44" s="90"/>
      <c r="O44" s="90"/>
      <c r="P44" s="90"/>
      <c r="Q44" s="90"/>
      <c r="R44" s="90"/>
      <c r="S44" s="91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1"/>
      <c r="AM44" s="1"/>
      <c r="AN44" s="1"/>
      <c r="AO44" s="1"/>
      <c r="AP44" s="1"/>
      <c r="AQ44" s="1">
        <f>VALUE(T20)</f>
        <v>0</v>
      </c>
      <c r="AR44" s="10">
        <f>(AQ44/AT41)</f>
        <v>0</v>
      </c>
      <c r="AS44" s="1">
        <f>(AR44*AS41)</f>
        <v>0</v>
      </c>
      <c r="AT44" s="1"/>
      <c r="AU44" s="1"/>
      <c r="AV44" s="1"/>
      <c r="AW44" s="1"/>
      <c r="AX44" s="1"/>
      <c r="AY44" s="1"/>
      <c r="AZ44" s="1"/>
      <c r="BA44" s="1" t="b">
        <f>IF(BA43=TABELAS!E23,(AD40-TABELAS!E23))</f>
        <v>0</v>
      </c>
      <c r="BB44" s="1">
        <f>(BA44*50%)</f>
        <v>0</v>
      </c>
      <c r="BC44" s="1"/>
      <c r="BD44" s="10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</row>
    <row r="45" spans="1:77" ht="19.5" customHeight="1">
      <c r="A45" s="1"/>
      <c r="B45" s="92" t="s">
        <v>61</v>
      </c>
      <c r="C45" s="93"/>
      <c r="D45" s="93"/>
      <c r="E45" s="93"/>
      <c r="F45" s="93"/>
      <c r="G45" s="93"/>
      <c r="H45" s="93"/>
      <c r="I45" s="93"/>
      <c r="J45" s="94"/>
      <c r="K45" s="95">
        <f>IF(TRIM(J12)="PEDIDO DE DEMISSÃO POR INCIATIVA DO EMPREGADO", 0, K44)</f>
        <v>0</v>
      </c>
      <c r="L45" s="93"/>
      <c r="M45" s="93"/>
      <c r="N45" s="93"/>
      <c r="O45" s="93"/>
      <c r="P45" s="93"/>
      <c r="Q45" s="93"/>
      <c r="R45" s="93"/>
      <c r="S45" s="96"/>
      <c r="T45" s="16"/>
      <c r="U45" s="97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  <c r="AI45" s="69"/>
      <c r="AJ45" s="69"/>
      <c r="AK45" s="69"/>
      <c r="AL45" s="1"/>
      <c r="AM45" s="1"/>
      <c r="AN45" s="1"/>
      <c r="AO45" s="1"/>
      <c r="AP45" s="1"/>
      <c r="AQ45" s="1">
        <f>VALUE(AA20)</f>
        <v>0</v>
      </c>
      <c r="AR45" s="1">
        <f>(AQ45/AT41)</f>
        <v>0</v>
      </c>
      <c r="AS45" s="1">
        <f>(AR45*AR38)</f>
        <v>0</v>
      </c>
      <c r="AT45" s="1"/>
      <c r="AU45" s="1"/>
      <c r="AV45" s="1"/>
      <c r="AW45" s="1"/>
      <c r="AX45" s="1"/>
      <c r="AY45" s="1"/>
      <c r="AZ45" s="1"/>
      <c r="BA45" s="1">
        <f>IF(AD40&gt;=TABELAS!E25,(2),(1))</f>
        <v>1</v>
      </c>
      <c r="BB45" s="1">
        <f>IF(BA45=1,(BB43+BB44),(TABELAS!G25))</f>
        <v>0</v>
      </c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</row>
    <row r="46" spans="1:77" ht="12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68"/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9"/>
      <c r="AF46" s="69"/>
      <c r="AG46" s="69"/>
      <c r="AH46" s="69"/>
      <c r="AI46" s="69"/>
      <c r="AJ46" s="69"/>
      <c r="AK46" s="69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</row>
    <row r="47" spans="1:77" ht="19.5" customHeight="1">
      <c r="A47" s="1"/>
      <c r="B47" s="70" t="s">
        <v>62</v>
      </c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2"/>
      <c r="AL47" s="1"/>
      <c r="AM47" s="1"/>
      <c r="AN47" s="1"/>
      <c r="AO47" s="1"/>
      <c r="AP47" s="1"/>
      <c r="AQ47" s="11">
        <f>ROUNDUP(AQ36,0)</f>
        <v>1</v>
      </c>
      <c r="AR47" s="11">
        <f>ROUNDDOWN(AQ36,0)</f>
        <v>0</v>
      </c>
      <c r="AS47" s="1"/>
      <c r="AT47" s="1"/>
      <c r="AU47" s="1"/>
      <c r="AV47" s="1"/>
      <c r="AW47" s="1"/>
      <c r="AX47" s="1"/>
      <c r="AY47" s="1"/>
      <c r="AZ47" s="1"/>
      <c r="BA47" s="1">
        <v>2</v>
      </c>
      <c r="BB47" s="4" t="s">
        <v>63</v>
      </c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</row>
    <row r="48" spans="1:77" ht="9.75" hidden="1" customHeight="1">
      <c r="A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1"/>
      <c r="AM48" s="1"/>
      <c r="AN48" s="1"/>
      <c r="AO48" s="1"/>
      <c r="AP48" s="1"/>
      <c r="AQ48" s="11">
        <f>(AQ47-AQ36)</f>
        <v>0.99999899999999997</v>
      </c>
      <c r="AR48" s="11">
        <f>(AQ36-AR47)</f>
        <v>9.9999999999999995E-7</v>
      </c>
      <c r="AS48" s="1"/>
      <c r="AT48" s="1"/>
      <c r="AU48" s="1"/>
      <c r="AV48" s="1"/>
      <c r="AW48" s="1"/>
      <c r="AX48" s="1"/>
      <c r="AY48" s="1"/>
      <c r="AZ48" s="1"/>
      <c r="BA48" s="1">
        <v>3</v>
      </c>
      <c r="BB48" s="4" t="s">
        <v>64</v>
      </c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</row>
    <row r="49" spans="1:77" ht="9.75" hidden="1" customHeight="1">
      <c r="A49" s="1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1"/>
      <c r="AM49" s="1"/>
      <c r="AN49" s="1"/>
      <c r="AO49" s="1"/>
      <c r="AP49" s="1"/>
      <c r="AQ49" s="11">
        <f>IF(AQ48&lt;AR48,(AQ47),(AR47))</f>
        <v>0</v>
      </c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</row>
    <row r="50" spans="1:77" ht="9.75" hidden="1" customHeight="1">
      <c r="A50" s="1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</row>
    <row r="51" spans="1:77" ht="9.75" hidden="1" customHeight="1">
      <c r="A51" s="1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</row>
    <row r="52" spans="1:77" ht="9.75" hidden="1" customHeight="1">
      <c r="A52" s="1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</row>
    <row r="53" spans="1:77" ht="9.75" hidden="1" customHeight="1">
      <c r="A53" s="1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</row>
    <row r="54" spans="1:77" ht="9.75" hidden="1" customHeight="1">
      <c r="A54" s="1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</row>
    <row r="55" spans="1:77" ht="9.75" hidden="1" customHeight="1">
      <c r="A55" s="1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</row>
    <row r="56" spans="1:77" ht="9.75" hidden="1" customHeight="1">
      <c r="A56" s="1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</row>
    <row r="57" spans="1:77" ht="9.75" hidden="1" customHeight="1">
      <c r="A57" s="1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</row>
    <row r="58" spans="1:77" ht="9.75" hidden="1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</row>
    <row r="59" spans="1:77" ht="9.75" hidden="1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</row>
    <row r="60" spans="1:77" ht="9.75" hidden="1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</row>
    <row r="61" spans="1:77" ht="9.75" hidden="1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</row>
    <row r="62" spans="1:77" ht="9.75" hidden="1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</row>
    <row r="63" spans="1:77" ht="9.75" hidden="1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</row>
    <row r="64" spans="1:77" ht="9.75" hidden="1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</row>
    <row r="65" spans="1:77" ht="9.75" hidden="1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</row>
    <row r="66" spans="1:77" ht="9.75" hidden="1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</row>
    <row r="67" spans="1:77" ht="9.75" hidden="1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</row>
    <row r="68" spans="1:77" ht="9.75" hidden="1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</row>
    <row r="69" spans="1:77" ht="9.75" hidden="1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</row>
    <row r="70" spans="1:77" ht="9.75" hidden="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</row>
    <row r="71" spans="1:77" ht="9.75" hidden="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</row>
    <row r="72" spans="1:77" ht="9.75" hidden="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</row>
    <row r="73" spans="1:77" ht="9.75" hidden="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</row>
    <row r="74" spans="1:77" ht="9.75" hidden="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</row>
    <row r="75" spans="1:77" ht="9.75" hidden="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</row>
    <row r="76" spans="1:77" ht="9.75" hidden="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</row>
    <row r="77" spans="1:77" ht="9.75" hidden="1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</row>
    <row r="78" spans="1:77" ht="9.75" hidden="1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</row>
    <row r="79" spans="1:77" ht="9.75" hidden="1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</row>
    <row r="80" spans="1:77" ht="9.75" hidden="1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</row>
    <row r="81" spans="1:77" ht="9.75" hidden="1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</row>
    <row r="82" spans="1:77" ht="9.75" hidden="1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</row>
    <row r="83" spans="1:77" ht="9.75" hidden="1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</row>
    <row r="84" spans="1:77" ht="9.75" hidden="1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</row>
    <row r="85" spans="1:77" ht="9.75" hidden="1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</row>
    <row r="86" spans="1:77" ht="9.75" hidden="1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</row>
    <row r="87" spans="1:77" ht="9.75" hidden="1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</row>
    <row r="88" spans="1:77" ht="9.75" hidden="1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</row>
    <row r="89" spans="1:77" ht="9.75" hidden="1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</row>
    <row r="90" spans="1:77" ht="9.75" hidden="1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</row>
    <row r="91" spans="1:77" ht="9.75" hidden="1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</row>
    <row r="92" spans="1:77" ht="9.75" hidden="1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</row>
    <row r="93" spans="1:77" ht="9.75" hidden="1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</row>
    <row r="94" spans="1:77" ht="9.75" hidden="1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</row>
    <row r="95" spans="1:77" ht="9.75" hidden="1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</row>
    <row r="96" spans="1:77" ht="9.75" hidden="1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</row>
    <row r="97" spans="1:77" ht="9.75" hidden="1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</row>
    <row r="98" spans="1:77" ht="9.75" hidden="1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</row>
    <row r="99" spans="1:77" ht="9.75" hidden="1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</row>
    <row r="100" spans="1:77" ht="9.75" hidden="1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</row>
    <row r="101" spans="1:77" ht="9.75" hidden="1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</row>
    <row r="102" spans="1:77" ht="9.75" hidden="1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</row>
    <row r="103" spans="1:77" ht="9.75" hidden="1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</row>
    <row r="104" spans="1:77" ht="9.75" hidden="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</row>
    <row r="105" spans="1:77" ht="9.75" hidden="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</row>
    <row r="106" spans="1:77" ht="9.75" hidden="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</row>
    <row r="107" spans="1:77" ht="9.75" hidden="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</row>
    <row r="108" spans="1:77" ht="9.75" hidden="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</row>
    <row r="109" spans="1:77" ht="9.75" hidden="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</row>
    <row r="110" spans="1:77" ht="9.75" hidden="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</row>
    <row r="111" spans="1:77" ht="9.75" hidden="1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</row>
    <row r="112" spans="1:77" ht="9.75" hidden="1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</row>
    <row r="113" spans="1:77" ht="9.75" hidden="1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</row>
    <row r="114" spans="1:77" ht="9.75" hidden="1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</row>
    <row r="115" spans="1:77" ht="9.75" hidden="1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</row>
    <row r="116" spans="1:77" ht="9.75" hidden="1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</row>
    <row r="117" spans="1:77" ht="9.75" hidden="1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</row>
    <row r="118" spans="1:77" ht="9.75" hidden="1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</row>
    <row r="119" spans="1:77" ht="9.75" hidden="1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</row>
    <row r="120" spans="1:77" ht="9.75" hidden="1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</row>
    <row r="121" spans="1:77" ht="9.75" hidden="1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</row>
    <row r="122" spans="1:77" ht="9.75" hidden="1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</row>
    <row r="123" spans="1:77" ht="9.75" hidden="1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</row>
    <row r="124" spans="1:77" ht="9.75" hidden="1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</row>
    <row r="125" spans="1:77" ht="9.75" hidden="1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</row>
    <row r="126" spans="1:77" ht="9.75" hidden="1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</row>
    <row r="127" spans="1:77" ht="9.75" hidden="1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</row>
    <row r="128" spans="1:77" ht="9.75" hidden="1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</row>
    <row r="129" spans="1:77" ht="9.75" hidden="1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</row>
    <row r="130" spans="1:77" ht="9.75" hidden="1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</row>
    <row r="131" spans="1:77" ht="9.75" hidden="1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</row>
    <row r="132" spans="1:77" ht="9.75" hidden="1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</row>
    <row r="133" spans="1:77" ht="9.75" hidden="1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</row>
    <row r="134" spans="1:77" ht="9.75" hidden="1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</row>
    <row r="135" spans="1:77" ht="9.75" hidden="1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</row>
    <row r="136" spans="1:77" ht="9.75" hidden="1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</row>
    <row r="137" spans="1:77" ht="9.75" hidden="1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</row>
    <row r="138" spans="1:77" ht="9.75" hidden="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</row>
    <row r="139" spans="1:77" ht="9.75" hidden="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</row>
    <row r="140" spans="1:77" ht="9.75" hidden="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</row>
    <row r="141" spans="1:77" ht="9.75" hidden="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</row>
    <row r="142" spans="1:77" ht="9.75" hidden="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</row>
    <row r="143" spans="1:77" ht="9.75" hidden="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</row>
    <row r="144" spans="1:77" ht="9.75" hidden="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</row>
    <row r="145" spans="1:77" ht="9.75" hidden="1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</row>
    <row r="146" spans="1:77" ht="9.75" hidden="1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</row>
    <row r="147" spans="1:77" ht="9.75" hidden="1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</row>
    <row r="148" spans="1:77" ht="9.75" hidden="1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</row>
    <row r="149" spans="1:77" ht="9.75" hidden="1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</row>
    <row r="150" spans="1:77" ht="9.75" hidden="1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</row>
    <row r="151" spans="1:77" ht="9.75" hidden="1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</row>
    <row r="152" spans="1:77" ht="9.75" hidden="1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</row>
    <row r="153" spans="1:77" ht="9.75" hidden="1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</row>
    <row r="154" spans="1:77" ht="9.75" hidden="1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</row>
    <row r="155" spans="1:77" ht="9.75" hidden="1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</row>
    <row r="156" spans="1:77" ht="9.75" hidden="1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</row>
    <row r="157" spans="1:77" ht="9.75" hidden="1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</row>
    <row r="158" spans="1:77" ht="9.75" hidden="1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</row>
    <row r="159" spans="1:77" ht="9.75" hidden="1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</row>
    <row r="160" spans="1:77" ht="9.75" hidden="1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</row>
    <row r="161" spans="1:77" ht="9.75" hidden="1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</row>
    <row r="162" spans="1:77" ht="9.75" hidden="1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</row>
    <row r="163" spans="1:77" ht="9.75" hidden="1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</row>
    <row r="164" spans="1:77" ht="9.75" hidden="1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</row>
    <row r="165" spans="1:77" ht="9.75" hidden="1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</row>
    <row r="166" spans="1:77" ht="9.75" hidden="1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</row>
    <row r="167" spans="1:77" ht="9.75" hidden="1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</row>
    <row r="168" spans="1:77" ht="9.75" hidden="1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</row>
    <row r="169" spans="1:77" ht="9.75" hidden="1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</row>
    <row r="170" spans="1:77" ht="9.75" hidden="1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</row>
    <row r="171" spans="1:77" ht="9.75" hidden="1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</row>
    <row r="172" spans="1:77" ht="9.75" hidden="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</row>
    <row r="173" spans="1:77" ht="9.75" hidden="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</row>
    <row r="174" spans="1:77" ht="9.75" hidden="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</row>
    <row r="175" spans="1:77" ht="9.75" hidden="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</row>
    <row r="176" spans="1:77" ht="9.75" hidden="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</row>
    <row r="177" spans="1:77" ht="9.75" hidden="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</row>
    <row r="178" spans="1:77" ht="9.75" hidden="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</row>
    <row r="179" spans="1:77" ht="9.75" hidden="1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</row>
    <row r="180" spans="1:77" ht="9.75" hidden="1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</row>
    <row r="181" spans="1:77" ht="9.75" hidden="1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</row>
    <row r="182" spans="1:77" ht="9.75" hidden="1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</row>
    <row r="183" spans="1:77" ht="9.75" hidden="1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</row>
    <row r="184" spans="1:77" ht="9.75" hidden="1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</row>
    <row r="185" spans="1:77" ht="9.75" hidden="1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</row>
    <row r="186" spans="1:77" ht="9.75" hidden="1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</row>
    <row r="187" spans="1:77" ht="9.75" hidden="1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</row>
    <row r="188" spans="1:77" ht="9.75" hidden="1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</row>
    <row r="189" spans="1:77" ht="9.75" hidden="1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</row>
    <row r="190" spans="1:77" ht="9.75" hidden="1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</row>
    <row r="191" spans="1:77" ht="9.75" hidden="1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</row>
    <row r="192" spans="1:77" ht="9.75" hidden="1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</row>
    <row r="193" spans="1:77" ht="9.75" hidden="1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</row>
    <row r="194" spans="1:77" ht="9.75" hidden="1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</row>
    <row r="195" spans="1:77" ht="9.75" hidden="1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</row>
    <row r="196" spans="1:77" ht="9.75" hidden="1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</row>
    <row r="197" spans="1:77" ht="9.75" hidden="1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</row>
    <row r="198" spans="1:77" ht="9.75" hidden="1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</row>
    <row r="199" spans="1:77" ht="9.75" hidden="1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</row>
    <row r="200" spans="1:77" ht="9.75" hidden="1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</row>
    <row r="201" spans="1:77" ht="9.75" hidden="1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</row>
    <row r="202" spans="1:77" ht="9.75" hidden="1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</row>
    <row r="203" spans="1:77" ht="9.75" hidden="1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</row>
    <row r="204" spans="1:77" ht="9.75" hidden="1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</row>
    <row r="205" spans="1:77" ht="9.75" hidden="1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</row>
    <row r="206" spans="1:77" ht="9.75" hidden="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</row>
    <row r="207" spans="1:77" ht="9.75" hidden="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</row>
    <row r="208" spans="1:77" ht="9.75" hidden="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</row>
    <row r="209" spans="1:77" ht="9.75" hidden="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</row>
    <row r="210" spans="1:77" ht="9.75" hidden="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</row>
    <row r="211" spans="1:77" ht="9.75" hidden="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</row>
    <row r="212" spans="1:77" ht="9.75" hidden="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</row>
    <row r="213" spans="1:77" ht="9.75" hidden="1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</row>
    <row r="214" spans="1:77" ht="9.75" hidden="1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</row>
    <row r="215" spans="1:77" ht="9.75" hidden="1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</row>
    <row r="216" spans="1:77" ht="9.75" hidden="1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</row>
    <row r="217" spans="1:77" ht="9.75" hidden="1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</row>
    <row r="218" spans="1:77" ht="9.75" hidden="1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</row>
    <row r="219" spans="1:77" ht="9.75" hidden="1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</row>
    <row r="220" spans="1:77" ht="9.75" hidden="1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</row>
    <row r="221" spans="1:77" ht="9.75" hidden="1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</row>
    <row r="222" spans="1:77" ht="9.75" hidden="1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</row>
    <row r="223" spans="1:77" ht="9.75" hidden="1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</row>
    <row r="224" spans="1:77" ht="9.75" hidden="1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</row>
    <row r="225" spans="1:77" ht="9.75" hidden="1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</row>
    <row r="226" spans="1:77" ht="9.75" hidden="1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</row>
    <row r="227" spans="1:77" ht="9.75" hidden="1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</row>
    <row r="228" spans="1:77" ht="9.75" hidden="1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</row>
    <row r="229" spans="1:77" ht="9.75" hidden="1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</row>
    <row r="230" spans="1:77" ht="9.75" hidden="1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</row>
    <row r="231" spans="1:77" ht="9.75" hidden="1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</row>
    <row r="232" spans="1:77" ht="9.75" hidden="1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</row>
    <row r="233" spans="1:77" ht="9.75" hidden="1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</row>
    <row r="234" spans="1:77" ht="9.75" hidden="1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</row>
    <row r="235" spans="1:77" ht="9.75" hidden="1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</row>
    <row r="236" spans="1:77" ht="9.75" hidden="1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</row>
    <row r="237" spans="1:77" ht="9.75" hidden="1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</row>
    <row r="238" spans="1:77" ht="9.75" hidden="1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</row>
    <row r="239" spans="1:77" ht="9.75" hidden="1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</row>
    <row r="240" spans="1:77" ht="9.75" hidden="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</row>
    <row r="241" spans="1:77" ht="9.75" hidden="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</row>
    <row r="242" spans="1:77" ht="9.75" hidden="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</row>
    <row r="243" spans="1:77" ht="9.75" hidden="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</row>
    <row r="244" spans="1:77" ht="9.75" hidden="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</row>
    <row r="245" spans="1:77" ht="9.75" hidden="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</row>
    <row r="246" spans="1:77" ht="9.75" hidden="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</row>
    <row r="247" spans="1:77" ht="9.75" hidden="1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</row>
    <row r="248" spans="1:77" ht="9.75" hidden="1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</row>
    <row r="249" spans="1:77" ht="9.75" hidden="1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</row>
    <row r="250" spans="1:77" ht="15.75" customHeight="1"/>
    <row r="251" spans="1:77" ht="15.75" customHeight="1"/>
    <row r="252" spans="1:77" ht="15.75" customHeight="1"/>
    <row r="253" spans="1:77" ht="15.75" customHeight="1"/>
    <row r="254" spans="1:77" ht="15.75" customHeight="1"/>
    <row r="255" spans="1:77" ht="15.75" customHeight="1"/>
    <row r="256" spans="1:77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6">
    <mergeCell ref="B3:AK3"/>
    <mergeCell ref="B5:AK6"/>
    <mergeCell ref="B8:H8"/>
    <mergeCell ref="I8:AJ8"/>
    <mergeCell ref="B10:H10"/>
    <mergeCell ref="I10:AJ10"/>
    <mergeCell ref="B12:H12"/>
    <mergeCell ref="J12:AC12"/>
    <mergeCell ref="J13:AC13"/>
    <mergeCell ref="B14:AK14"/>
    <mergeCell ref="I16:O16"/>
    <mergeCell ref="P16:V16"/>
    <mergeCell ref="W16:AC16"/>
    <mergeCell ref="AD16:AK16"/>
    <mergeCell ref="T19:Z19"/>
    <mergeCell ref="AA19:AG19"/>
    <mergeCell ref="T20:Z20"/>
    <mergeCell ref="AA20:AG20"/>
    <mergeCell ref="AH20:AK20"/>
    <mergeCell ref="T22:AK22"/>
    <mergeCell ref="B16:H16"/>
    <mergeCell ref="B17:H17"/>
    <mergeCell ref="I17:O17"/>
    <mergeCell ref="P17:V17"/>
    <mergeCell ref="W17:AC17"/>
    <mergeCell ref="AD17:AK17"/>
    <mergeCell ref="B19:H19"/>
    <mergeCell ref="AH19:AK19"/>
    <mergeCell ref="I19:L19"/>
    <mergeCell ref="M19:S19"/>
    <mergeCell ref="B20:H20"/>
    <mergeCell ref="I20:L20"/>
    <mergeCell ref="M20:S20"/>
    <mergeCell ref="B22:S22"/>
    <mergeCell ref="B36:K36"/>
    <mergeCell ref="L36:S36"/>
    <mergeCell ref="L23:N23"/>
    <mergeCell ref="O23:S23"/>
    <mergeCell ref="T23:AC23"/>
    <mergeCell ref="AD23:AF23"/>
    <mergeCell ref="AG23:AK23"/>
    <mergeCell ref="B24:K24"/>
    <mergeCell ref="L24:N24"/>
    <mergeCell ref="O24:S24"/>
    <mergeCell ref="T24:AC24"/>
    <mergeCell ref="AD24:AF24"/>
    <mergeCell ref="AG24:AK24"/>
    <mergeCell ref="B23:K23"/>
    <mergeCell ref="B25:K25"/>
    <mergeCell ref="L25:N25"/>
    <mergeCell ref="O25:S25"/>
    <mergeCell ref="T25:AC25"/>
    <mergeCell ref="AD25:AF25"/>
    <mergeCell ref="AG25:AK25"/>
    <mergeCell ref="B26:K26"/>
    <mergeCell ref="AG26:AK26"/>
    <mergeCell ref="L26:N26"/>
    <mergeCell ref="O26:S26"/>
    <mergeCell ref="AD42:AK42"/>
    <mergeCell ref="T34:AC34"/>
    <mergeCell ref="AD34:AF34"/>
    <mergeCell ref="T35:AC35"/>
    <mergeCell ref="AD35:AF35"/>
    <mergeCell ref="AG35:AK35"/>
    <mergeCell ref="T36:AC36"/>
    <mergeCell ref="AD36:AK36"/>
    <mergeCell ref="B33:K33"/>
    <mergeCell ref="L33:N33"/>
    <mergeCell ref="O33:S33"/>
    <mergeCell ref="T33:AC33"/>
    <mergeCell ref="AD33:AF33"/>
    <mergeCell ref="AG33:AK33"/>
    <mergeCell ref="B34:K34"/>
    <mergeCell ref="AG34:AK34"/>
    <mergeCell ref="B37:K37"/>
    <mergeCell ref="L37:S37"/>
    <mergeCell ref="U37:AK37"/>
    <mergeCell ref="L34:N34"/>
    <mergeCell ref="O34:S34"/>
    <mergeCell ref="B35:K35"/>
    <mergeCell ref="L35:N35"/>
    <mergeCell ref="O35:S35"/>
    <mergeCell ref="T46:AK46"/>
    <mergeCell ref="B47:AK47"/>
    <mergeCell ref="B39:S39"/>
    <mergeCell ref="B40:J40"/>
    <mergeCell ref="K40:S40"/>
    <mergeCell ref="B41:J41"/>
    <mergeCell ref="K41:S41"/>
    <mergeCell ref="B42:J42"/>
    <mergeCell ref="K42:S42"/>
    <mergeCell ref="B43:J43"/>
    <mergeCell ref="K43:S43"/>
    <mergeCell ref="T43:AC43"/>
    <mergeCell ref="AD43:AK43"/>
    <mergeCell ref="B44:J44"/>
    <mergeCell ref="K44:S44"/>
    <mergeCell ref="B45:J45"/>
    <mergeCell ref="K45:S45"/>
    <mergeCell ref="U45:AK45"/>
    <mergeCell ref="T39:AK39"/>
    <mergeCell ref="T40:AC40"/>
    <mergeCell ref="AD40:AK40"/>
    <mergeCell ref="T41:AC41"/>
    <mergeCell ref="AD41:AK41"/>
    <mergeCell ref="T42:AC42"/>
    <mergeCell ref="T29:AC29"/>
    <mergeCell ref="AD29:AF29"/>
    <mergeCell ref="AG29:AK29"/>
    <mergeCell ref="B28:K28"/>
    <mergeCell ref="B29:K29"/>
    <mergeCell ref="L29:N29"/>
    <mergeCell ref="O29:S29"/>
    <mergeCell ref="B30:K30"/>
    <mergeCell ref="L30:N30"/>
    <mergeCell ref="O30:S30"/>
    <mergeCell ref="T30:AC30"/>
    <mergeCell ref="AD30:AF30"/>
    <mergeCell ref="AG30:AK30"/>
    <mergeCell ref="T26:AC26"/>
    <mergeCell ref="AD26:AF26"/>
    <mergeCell ref="T27:AC27"/>
    <mergeCell ref="AD27:AF27"/>
    <mergeCell ref="AG27:AK27"/>
    <mergeCell ref="AD28:AF28"/>
    <mergeCell ref="AG28:AK28"/>
    <mergeCell ref="B27:K27"/>
    <mergeCell ref="L27:N27"/>
    <mergeCell ref="O27:S27"/>
    <mergeCell ref="L28:N28"/>
    <mergeCell ref="O28:S28"/>
    <mergeCell ref="T28:AC28"/>
    <mergeCell ref="B32:G32"/>
    <mergeCell ref="H32:K32"/>
    <mergeCell ref="L32:N32"/>
    <mergeCell ref="O32:S32"/>
    <mergeCell ref="T32:AC32"/>
    <mergeCell ref="AD32:AF32"/>
    <mergeCell ref="AG32:AK32"/>
    <mergeCell ref="B31:G31"/>
    <mergeCell ref="H31:K31"/>
    <mergeCell ref="L31:N31"/>
    <mergeCell ref="O31:S31"/>
    <mergeCell ref="T31:AC31"/>
    <mergeCell ref="AD31:AF31"/>
    <mergeCell ref="AG31:AK31"/>
  </mergeCells>
  <dataValidations count="3">
    <dataValidation type="list" allowBlank="1" showErrorMessage="1" sqref="AD17" xr:uid="{00000000-0002-0000-0000-000000000000}">
      <formula1>"INDENIZADO,TRABALHADO,Ñ TRABALHADO"</formula1>
    </dataValidation>
    <dataValidation type="list" allowBlank="1" showErrorMessage="1" sqref="J12" xr:uid="{00000000-0002-0000-0000-000001000000}">
      <formula1>"DISPENSA DO EMPREGADO SEM JUSTA CAUSA,PEDIDO DE DEMISSÃO POR INCIATIVA DO EMPREGADO,TÉRMINO DE CONTRATO DE TRABALHO A TERMO"</formula1>
    </dataValidation>
    <dataValidation type="list" allowBlank="1" showErrorMessage="1" sqref="B20" xr:uid="{00000000-0002-0000-0000-000002000000}">
      <formula1>"SIM,NÃO"</formula1>
    </dataValidation>
  </dataValidations>
  <pageMargins left="0.24" right="0.24" top="0.28999999999999998" bottom="0.21" header="0" footer="0"/>
  <pageSetup paperSize="9" scale="9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showGridLines="0" workbookViewId="0">
      <selection activeCell="D11" sqref="D11"/>
    </sheetView>
  </sheetViews>
  <sheetFormatPr defaultColWidth="12.6640625" defaultRowHeight="15" customHeight="1"/>
  <cols>
    <col min="1" max="1" width="3.109375" customWidth="1"/>
    <col min="2" max="2" width="1.44140625" customWidth="1"/>
    <col min="3" max="8" width="15.6640625" customWidth="1"/>
    <col min="9" max="9" width="1.44140625" customWidth="1"/>
    <col min="10" max="10" width="3.109375" customWidth="1"/>
    <col min="11" max="11" width="4.88671875" hidden="1" customWidth="1"/>
    <col min="12" max="26" width="8.6640625" customWidth="1"/>
  </cols>
  <sheetData>
    <row r="1" spans="1:26" ht="15" customHeight="1">
      <c r="A1" s="13"/>
      <c r="B1" s="13"/>
      <c r="C1" s="13"/>
      <c r="D1" s="13"/>
      <c r="E1" s="13"/>
      <c r="F1" s="13"/>
      <c r="G1" s="21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39.75" customHeight="1">
      <c r="A2" s="13"/>
      <c r="B2" s="162" t="s">
        <v>65</v>
      </c>
      <c r="C2" s="69"/>
      <c r="D2" s="69"/>
      <c r="E2" s="69"/>
      <c r="F2" s="69"/>
      <c r="G2" s="69"/>
      <c r="H2" s="69"/>
      <c r="I2" s="69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9.75" customHeight="1">
      <c r="A3" s="13"/>
      <c r="B3" s="13"/>
      <c r="C3" s="22"/>
      <c r="D3" s="22"/>
      <c r="E3" s="22"/>
      <c r="F3" s="22"/>
      <c r="G3" s="22"/>
      <c r="H3" s="22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9.75" customHeight="1">
      <c r="A4" s="23"/>
      <c r="B4" s="24"/>
      <c r="C4" s="25"/>
      <c r="D4" s="25"/>
      <c r="E4" s="25"/>
      <c r="F4" s="25"/>
      <c r="G4" s="25"/>
      <c r="H4" s="25"/>
      <c r="I4" s="26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9.5" customHeight="1">
      <c r="A5" s="13"/>
      <c r="B5" s="27"/>
      <c r="C5" s="162" t="s">
        <v>66</v>
      </c>
      <c r="D5" s="69"/>
      <c r="E5" s="69"/>
      <c r="F5" s="69"/>
      <c r="G5" s="69"/>
      <c r="H5" s="69"/>
      <c r="I5" s="28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9.5" customHeight="1">
      <c r="A6" s="13"/>
      <c r="B6" s="27"/>
      <c r="C6" s="29" t="s">
        <v>67</v>
      </c>
      <c r="D6" s="30">
        <v>0.01</v>
      </c>
      <c r="E6" s="29" t="s">
        <v>68</v>
      </c>
      <c r="F6" s="30">
        <v>1518</v>
      </c>
      <c r="G6" s="29" t="s">
        <v>69</v>
      </c>
      <c r="H6" s="31">
        <v>7.4999999999999997E-2</v>
      </c>
      <c r="I6" s="28"/>
      <c r="J6" s="13"/>
      <c r="K6" s="12">
        <v>1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9.5" customHeight="1">
      <c r="A7" s="13"/>
      <c r="B7" s="27"/>
      <c r="C7" s="32" t="s">
        <v>67</v>
      </c>
      <c r="D7" s="33">
        <v>1518.01</v>
      </c>
      <c r="E7" s="32" t="s">
        <v>68</v>
      </c>
      <c r="F7" s="33">
        <v>2793.88</v>
      </c>
      <c r="G7" s="32" t="s">
        <v>69</v>
      </c>
      <c r="H7" s="34">
        <v>0.09</v>
      </c>
      <c r="I7" s="28"/>
      <c r="J7" s="13"/>
      <c r="K7" s="12">
        <v>2</v>
      </c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9.5" customHeight="1">
      <c r="A8" s="13"/>
      <c r="B8" s="27"/>
      <c r="C8" s="29" t="s">
        <v>67</v>
      </c>
      <c r="D8" s="30">
        <v>2793.89</v>
      </c>
      <c r="E8" s="29" t="s">
        <v>68</v>
      </c>
      <c r="F8" s="30">
        <v>4190.83</v>
      </c>
      <c r="G8" s="29" t="s">
        <v>69</v>
      </c>
      <c r="H8" s="31">
        <v>0.12</v>
      </c>
      <c r="I8" s="28"/>
      <c r="J8" s="13"/>
      <c r="K8" s="12">
        <v>3</v>
      </c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9.5" customHeight="1">
      <c r="A9" s="13"/>
      <c r="B9" s="27"/>
      <c r="C9" s="32" t="s">
        <v>67</v>
      </c>
      <c r="D9" s="33">
        <v>4190.84</v>
      </c>
      <c r="E9" s="32" t="s">
        <v>68</v>
      </c>
      <c r="F9" s="33">
        <v>8157.41</v>
      </c>
      <c r="G9" s="32" t="s">
        <v>69</v>
      </c>
      <c r="H9" s="34">
        <v>0.14000000000000001</v>
      </c>
      <c r="I9" s="28"/>
      <c r="J9" s="13"/>
      <c r="K9" s="12">
        <v>4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9.5" customHeight="1">
      <c r="A10" s="13"/>
      <c r="B10" s="27"/>
      <c r="C10" s="29" t="s">
        <v>70</v>
      </c>
      <c r="D10" s="30">
        <v>8157.42</v>
      </c>
      <c r="E10" s="29" t="s">
        <v>69</v>
      </c>
      <c r="F10" s="30">
        <v>318.37</v>
      </c>
      <c r="G10" s="35"/>
      <c r="H10" s="35"/>
      <c r="I10" s="28"/>
      <c r="J10" s="13"/>
      <c r="K10" s="12">
        <v>5</v>
      </c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9.75" customHeight="1">
      <c r="A11" s="13"/>
      <c r="B11" s="36"/>
      <c r="C11" s="37"/>
      <c r="D11" s="37"/>
      <c r="E11" s="37"/>
      <c r="F11" s="37"/>
      <c r="G11" s="37"/>
      <c r="H11" s="37"/>
      <c r="I11" s="38"/>
      <c r="J11" s="13"/>
      <c r="K11" s="12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9.5" customHeight="1">
      <c r="A12" s="13"/>
      <c r="B12" s="13"/>
      <c r="C12" s="35"/>
      <c r="D12" s="35"/>
      <c r="E12" s="35"/>
      <c r="F12" s="35"/>
      <c r="G12" s="35"/>
      <c r="H12" s="35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9.75" customHeight="1">
      <c r="A13" s="13"/>
      <c r="B13" s="39"/>
      <c r="C13" s="163" t="s">
        <v>71</v>
      </c>
      <c r="D13" s="164"/>
      <c r="E13" s="164"/>
      <c r="F13" s="164"/>
      <c r="G13" s="164"/>
      <c r="H13" s="164"/>
      <c r="I13" s="26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9.5" customHeight="1">
      <c r="A14" s="13"/>
      <c r="B14" s="27"/>
      <c r="C14" s="69"/>
      <c r="D14" s="69"/>
      <c r="E14" s="69"/>
      <c r="F14" s="69"/>
      <c r="G14" s="69"/>
      <c r="H14" s="69"/>
      <c r="I14" s="28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9.5" customHeight="1">
      <c r="A15" s="13"/>
      <c r="B15" s="27"/>
      <c r="C15" s="29">
        <v>0.01</v>
      </c>
      <c r="D15" s="30" t="s">
        <v>68</v>
      </c>
      <c r="E15" s="29">
        <v>1372.81</v>
      </c>
      <c r="F15" s="30" t="s">
        <v>69</v>
      </c>
      <c r="G15" s="40">
        <v>0</v>
      </c>
      <c r="H15" s="30" t="s">
        <v>72</v>
      </c>
      <c r="I15" s="28"/>
      <c r="J15" s="13"/>
      <c r="K15" s="12">
        <v>1</v>
      </c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9.5" customHeight="1">
      <c r="A16" s="13"/>
      <c r="B16" s="27"/>
      <c r="C16" s="32">
        <v>1372.82</v>
      </c>
      <c r="D16" s="33" t="s">
        <v>68</v>
      </c>
      <c r="E16" s="32">
        <v>2743.25</v>
      </c>
      <c r="F16" s="33" t="s">
        <v>69</v>
      </c>
      <c r="G16" s="41">
        <v>0.15</v>
      </c>
      <c r="H16" s="33">
        <v>197.05</v>
      </c>
      <c r="I16" s="28"/>
      <c r="J16" s="13"/>
      <c r="K16" s="12">
        <v>2</v>
      </c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9.5" customHeight="1">
      <c r="A17" s="13"/>
      <c r="B17" s="27"/>
      <c r="C17" s="35"/>
      <c r="D17" s="30" t="s">
        <v>70</v>
      </c>
      <c r="E17" s="29">
        <v>2743.25</v>
      </c>
      <c r="F17" s="30" t="s">
        <v>69</v>
      </c>
      <c r="G17" s="42">
        <v>0.27500000000000002</v>
      </c>
      <c r="H17" s="30">
        <v>525.19000000000005</v>
      </c>
      <c r="I17" s="28"/>
      <c r="J17" s="13"/>
      <c r="K17" s="12">
        <v>3</v>
      </c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9.5" customHeight="1">
      <c r="A18" s="13"/>
      <c r="B18" s="27"/>
      <c r="C18" s="35"/>
      <c r="D18" s="165" t="s">
        <v>73</v>
      </c>
      <c r="E18" s="72"/>
      <c r="F18" s="29">
        <v>137.99</v>
      </c>
      <c r="G18" s="35"/>
      <c r="H18" s="35"/>
      <c r="I18" s="28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9.75" customHeight="1">
      <c r="A19" s="13"/>
      <c r="B19" s="36"/>
      <c r="C19" s="43"/>
      <c r="D19" s="43"/>
      <c r="E19" s="43"/>
      <c r="F19" s="43"/>
      <c r="G19" s="43"/>
      <c r="H19" s="43"/>
      <c r="I19" s="38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9.5" customHeight="1">
      <c r="A20" s="13"/>
      <c r="B20" s="13"/>
      <c r="C20" s="35"/>
      <c r="D20" s="35"/>
      <c r="E20" s="35"/>
      <c r="F20" s="35"/>
      <c r="G20" s="35"/>
      <c r="H20" s="35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9.75" customHeight="1">
      <c r="A21" s="13"/>
      <c r="B21" s="39"/>
      <c r="C21" s="163" t="s">
        <v>74</v>
      </c>
      <c r="D21" s="164"/>
      <c r="E21" s="164"/>
      <c r="F21" s="164"/>
      <c r="G21" s="164"/>
      <c r="H21" s="164"/>
      <c r="I21" s="26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9.5" customHeight="1">
      <c r="A22" s="13"/>
      <c r="B22" s="27"/>
      <c r="C22" s="69"/>
      <c r="D22" s="69"/>
      <c r="E22" s="69"/>
      <c r="F22" s="69"/>
      <c r="G22" s="69"/>
      <c r="H22" s="69"/>
      <c r="I22" s="28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9.5" customHeight="1">
      <c r="A23" s="13"/>
      <c r="B23" s="27"/>
      <c r="C23" s="29">
        <v>0.01</v>
      </c>
      <c r="D23" s="30" t="s">
        <v>68</v>
      </c>
      <c r="E23" s="44">
        <v>685.06</v>
      </c>
      <c r="F23" s="30" t="s">
        <v>69</v>
      </c>
      <c r="G23" s="40">
        <v>0.8</v>
      </c>
      <c r="H23" s="45"/>
      <c r="I23" s="28"/>
      <c r="J23" s="13"/>
      <c r="K23" s="12">
        <v>1</v>
      </c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9.5" customHeight="1">
      <c r="A24" s="13"/>
      <c r="B24" s="27"/>
      <c r="C24" s="32">
        <f>(E23+0.01)</f>
        <v>685.06999999999994</v>
      </c>
      <c r="D24" s="33" t="s">
        <v>68</v>
      </c>
      <c r="E24" s="46">
        <v>1141.8800000000001</v>
      </c>
      <c r="F24" s="33" t="s">
        <v>69</v>
      </c>
      <c r="G24" s="41">
        <v>0.5</v>
      </c>
      <c r="H24" s="45"/>
      <c r="I24" s="28"/>
      <c r="J24" s="13"/>
      <c r="K24" s="12">
        <v>2</v>
      </c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9.5" customHeight="1">
      <c r="A25" s="13"/>
      <c r="B25" s="27"/>
      <c r="C25" s="35"/>
      <c r="D25" s="30" t="s">
        <v>70</v>
      </c>
      <c r="E25" s="44">
        <v>1141.8900000000001</v>
      </c>
      <c r="F25" s="30" t="s">
        <v>75</v>
      </c>
      <c r="G25" s="44">
        <v>776.46</v>
      </c>
      <c r="H25" s="45"/>
      <c r="I25" s="28"/>
      <c r="J25" s="13"/>
      <c r="K25" s="12">
        <v>3</v>
      </c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9.75" customHeight="1">
      <c r="A26" s="13"/>
      <c r="B26" s="36"/>
      <c r="C26" s="37"/>
      <c r="D26" s="37"/>
      <c r="E26" s="47"/>
      <c r="F26" s="37"/>
      <c r="G26" s="47"/>
      <c r="H26" s="43"/>
      <c r="I26" s="38"/>
      <c r="J26" s="13"/>
      <c r="K26" s="12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9.5" customHeight="1">
      <c r="A27" s="13"/>
      <c r="B27" s="13"/>
      <c r="C27" s="45"/>
      <c r="D27" s="45"/>
      <c r="E27" s="45"/>
      <c r="F27" s="45"/>
      <c r="G27" s="45"/>
      <c r="H27" s="45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30" customHeight="1">
      <c r="A28" s="13"/>
      <c r="B28" s="161"/>
      <c r="C28" s="69"/>
      <c r="D28" s="69"/>
      <c r="E28" s="69"/>
      <c r="F28" s="69"/>
      <c r="G28" s="69"/>
      <c r="H28" s="69"/>
      <c r="I28" s="69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9.5" customHeight="1">
      <c r="A29" s="13"/>
      <c r="B29" s="13"/>
      <c r="C29" s="45"/>
      <c r="D29" s="45"/>
      <c r="E29" s="45"/>
      <c r="F29" s="45"/>
      <c r="G29" s="45"/>
      <c r="H29" s="45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9.5" customHeight="1">
      <c r="A30" s="13"/>
      <c r="B30" s="13"/>
      <c r="C30" s="45"/>
      <c r="D30" s="45"/>
      <c r="E30" s="45"/>
      <c r="F30" s="45"/>
      <c r="G30" s="45"/>
      <c r="H30" s="45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9.5" customHeight="1">
      <c r="A31" s="13"/>
      <c r="B31" s="13"/>
      <c r="C31" s="45"/>
      <c r="D31" s="45"/>
      <c r="E31" s="45"/>
      <c r="F31" s="45"/>
      <c r="G31" s="45"/>
      <c r="H31" s="45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9.5" customHeight="1">
      <c r="A32" s="13"/>
      <c r="B32" s="13"/>
      <c r="C32" s="45"/>
      <c r="D32" s="45"/>
      <c r="E32" s="45"/>
      <c r="F32" s="45"/>
      <c r="G32" s="45"/>
      <c r="H32" s="45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9.5" customHeight="1">
      <c r="A33" s="13"/>
      <c r="B33" s="13"/>
      <c r="C33" s="45"/>
      <c r="D33" s="45"/>
      <c r="E33" s="45"/>
      <c r="F33" s="45"/>
      <c r="G33" s="45"/>
      <c r="H33" s="45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9.5" customHeight="1">
      <c r="A34" s="13"/>
      <c r="B34" s="13"/>
      <c r="C34" s="45"/>
      <c r="D34" s="45"/>
      <c r="E34" s="45"/>
      <c r="F34" s="45"/>
      <c r="G34" s="45"/>
      <c r="H34" s="45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9.5" customHeight="1">
      <c r="A35" s="13"/>
      <c r="B35" s="13"/>
      <c r="C35" s="45"/>
      <c r="D35" s="45"/>
      <c r="E35" s="45"/>
      <c r="F35" s="45"/>
      <c r="G35" s="45"/>
      <c r="H35" s="45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9.5" customHeight="1">
      <c r="A36" s="13"/>
      <c r="B36" s="13"/>
      <c r="C36" s="45"/>
      <c r="D36" s="45"/>
      <c r="E36" s="45"/>
      <c r="F36" s="45"/>
      <c r="G36" s="45"/>
      <c r="H36" s="45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9.5" customHeight="1">
      <c r="A37" s="13"/>
      <c r="B37" s="13"/>
      <c r="C37" s="45"/>
      <c r="D37" s="45"/>
      <c r="E37" s="45"/>
      <c r="F37" s="45"/>
      <c r="G37" s="45"/>
      <c r="H37" s="45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9.5" customHeight="1">
      <c r="A38" s="13"/>
      <c r="B38" s="13"/>
      <c r="C38" s="45"/>
      <c r="D38" s="45"/>
      <c r="E38" s="45"/>
      <c r="F38" s="45"/>
      <c r="G38" s="45"/>
      <c r="H38" s="45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9.5" customHeight="1">
      <c r="A39" s="13"/>
      <c r="B39" s="13"/>
      <c r="C39" s="45"/>
      <c r="D39" s="45"/>
      <c r="E39" s="45"/>
      <c r="F39" s="45"/>
      <c r="G39" s="45"/>
      <c r="H39" s="45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9.5" customHeight="1">
      <c r="A40" s="13"/>
      <c r="B40" s="13"/>
      <c r="C40" s="45"/>
      <c r="D40" s="45"/>
      <c r="E40" s="45"/>
      <c r="F40" s="45"/>
      <c r="G40" s="45"/>
      <c r="H40" s="45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9.5" customHeight="1">
      <c r="A41" s="13"/>
      <c r="B41" s="13"/>
      <c r="C41" s="45"/>
      <c r="D41" s="45"/>
      <c r="E41" s="45"/>
      <c r="F41" s="45"/>
      <c r="G41" s="45"/>
      <c r="H41" s="45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9.5" customHeight="1">
      <c r="A42" s="13"/>
      <c r="B42" s="13"/>
      <c r="C42" s="45"/>
      <c r="D42" s="45"/>
      <c r="E42" s="45"/>
      <c r="F42" s="45"/>
      <c r="G42" s="45"/>
      <c r="H42" s="45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9.5" customHeight="1">
      <c r="A43" s="13"/>
      <c r="B43" s="13"/>
      <c r="C43" s="45"/>
      <c r="D43" s="45"/>
      <c r="E43" s="45"/>
      <c r="F43" s="45"/>
      <c r="G43" s="45"/>
      <c r="H43" s="45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9.5" customHeight="1">
      <c r="A44" s="13"/>
      <c r="B44" s="13"/>
      <c r="C44" s="45"/>
      <c r="D44" s="45"/>
      <c r="E44" s="45"/>
      <c r="F44" s="45"/>
      <c r="G44" s="45"/>
      <c r="H44" s="45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9.5" customHeight="1">
      <c r="A45" s="13"/>
      <c r="B45" s="13"/>
      <c r="C45" s="45"/>
      <c r="D45" s="45"/>
      <c r="E45" s="45"/>
      <c r="F45" s="45"/>
      <c r="G45" s="45"/>
      <c r="H45" s="45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9.5" customHeight="1">
      <c r="A46" s="13"/>
      <c r="B46" s="13"/>
      <c r="C46" s="45"/>
      <c r="D46" s="45"/>
      <c r="E46" s="45"/>
      <c r="F46" s="45"/>
      <c r="G46" s="45"/>
      <c r="H46" s="45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9.5" customHeight="1">
      <c r="A47" s="13"/>
      <c r="B47" s="13"/>
      <c r="C47" s="45"/>
      <c r="D47" s="45"/>
      <c r="E47" s="45"/>
      <c r="F47" s="45"/>
      <c r="G47" s="45"/>
      <c r="H47" s="45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9.5" customHeight="1">
      <c r="A48" s="13"/>
      <c r="B48" s="13"/>
      <c r="C48" s="45"/>
      <c r="D48" s="45"/>
      <c r="E48" s="45"/>
      <c r="F48" s="45"/>
      <c r="G48" s="45"/>
      <c r="H48" s="45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9.5" customHeight="1">
      <c r="A49" s="13"/>
      <c r="B49" s="13"/>
      <c r="C49" s="45"/>
      <c r="D49" s="45"/>
      <c r="E49" s="45"/>
      <c r="F49" s="45"/>
      <c r="G49" s="45"/>
      <c r="H49" s="45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9.5" customHeight="1">
      <c r="A50" s="13"/>
      <c r="B50" s="13"/>
      <c r="C50" s="45"/>
      <c r="D50" s="45"/>
      <c r="E50" s="45"/>
      <c r="F50" s="45"/>
      <c r="G50" s="45"/>
      <c r="H50" s="45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9.5" customHeight="1">
      <c r="A51" s="13"/>
      <c r="B51" s="13"/>
      <c r="C51" s="45"/>
      <c r="D51" s="45"/>
      <c r="E51" s="45"/>
      <c r="F51" s="45"/>
      <c r="G51" s="45"/>
      <c r="H51" s="45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9.5" customHeight="1">
      <c r="A52" s="13"/>
      <c r="B52" s="13"/>
      <c r="C52" s="45"/>
      <c r="D52" s="45"/>
      <c r="E52" s="45"/>
      <c r="F52" s="45"/>
      <c r="G52" s="45"/>
      <c r="H52" s="45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9.5" customHeight="1">
      <c r="A53" s="13"/>
      <c r="B53" s="13"/>
      <c r="C53" s="45"/>
      <c r="D53" s="45"/>
      <c r="E53" s="45"/>
      <c r="F53" s="45"/>
      <c r="G53" s="45"/>
      <c r="H53" s="45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9.5" customHeight="1">
      <c r="A54" s="13"/>
      <c r="B54" s="13"/>
      <c r="C54" s="45"/>
      <c r="D54" s="45"/>
      <c r="E54" s="45"/>
      <c r="F54" s="45"/>
      <c r="G54" s="45"/>
      <c r="H54" s="45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9.5" customHeight="1">
      <c r="A55" s="13"/>
      <c r="B55" s="13"/>
      <c r="C55" s="45"/>
      <c r="D55" s="45"/>
      <c r="E55" s="45"/>
      <c r="F55" s="45"/>
      <c r="G55" s="45"/>
      <c r="H55" s="45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9.5" customHeight="1">
      <c r="A56" s="13"/>
      <c r="B56" s="13"/>
      <c r="C56" s="45"/>
      <c r="D56" s="45"/>
      <c r="E56" s="45"/>
      <c r="F56" s="45"/>
      <c r="G56" s="45"/>
      <c r="H56" s="45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9.5" customHeight="1">
      <c r="A57" s="13"/>
      <c r="B57" s="13"/>
      <c r="C57" s="45"/>
      <c r="D57" s="45"/>
      <c r="E57" s="45"/>
      <c r="F57" s="45"/>
      <c r="G57" s="45"/>
      <c r="H57" s="45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9.5" customHeight="1">
      <c r="A58" s="13"/>
      <c r="B58" s="13"/>
      <c r="C58" s="45"/>
      <c r="D58" s="45"/>
      <c r="E58" s="45"/>
      <c r="F58" s="45"/>
      <c r="G58" s="45"/>
      <c r="H58" s="45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9.5" customHeight="1">
      <c r="A59" s="13"/>
      <c r="B59" s="13"/>
      <c r="C59" s="45"/>
      <c r="D59" s="45"/>
      <c r="E59" s="45"/>
      <c r="F59" s="45"/>
      <c r="G59" s="45"/>
      <c r="H59" s="45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9.5" customHeight="1">
      <c r="A60" s="13"/>
      <c r="B60" s="13"/>
      <c r="C60" s="45"/>
      <c r="D60" s="45"/>
      <c r="E60" s="45"/>
      <c r="F60" s="45"/>
      <c r="G60" s="45"/>
      <c r="H60" s="45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9.5" customHeight="1">
      <c r="A61" s="13"/>
      <c r="B61" s="13"/>
      <c r="C61" s="45"/>
      <c r="D61" s="45"/>
      <c r="E61" s="45"/>
      <c r="F61" s="45"/>
      <c r="G61" s="45"/>
      <c r="H61" s="45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9.5" customHeight="1">
      <c r="A62" s="13"/>
      <c r="B62" s="13"/>
      <c r="C62" s="45"/>
      <c r="D62" s="45"/>
      <c r="E62" s="45"/>
      <c r="F62" s="45"/>
      <c r="G62" s="45"/>
      <c r="H62" s="45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9.5" customHeight="1">
      <c r="A63" s="13"/>
      <c r="B63" s="13"/>
      <c r="C63" s="45"/>
      <c r="D63" s="45"/>
      <c r="E63" s="45"/>
      <c r="F63" s="45"/>
      <c r="G63" s="45"/>
      <c r="H63" s="45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9.5" customHeight="1">
      <c r="A64" s="13"/>
      <c r="B64" s="13"/>
      <c r="C64" s="45"/>
      <c r="D64" s="45"/>
      <c r="E64" s="45"/>
      <c r="F64" s="45"/>
      <c r="G64" s="45"/>
      <c r="H64" s="45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9.5" customHeight="1">
      <c r="A65" s="13"/>
      <c r="B65" s="13"/>
      <c r="C65" s="45"/>
      <c r="D65" s="45"/>
      <c r="E65" s="45"/>
      <c r="F65" s="45"/>
      <c r="G65" s="45"/>
      <c r="H65" s="45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9.5" customHeight="1">
      <c r="A66" s="13"/>
      <c r="B66" s="13"/>
      <c r="C66" s="45"/>
      <c r="D66" s="45"/>
      <c r="E66" s="45"/>
      <c r="F66" s="45"/>
      <c r="G66" s="45"/>
      <c r="H66" s="45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9.5" customHeight="1">
      <c r="A67" s="13"/>
      <c r="B67" s="13"/>
      <c r="C67" s="45"/>
      <c r="D67" s="45"/>
      <c r="E67" s="45"/>
      <c r="F67" s="45"/>
      <c r="G67" s="45"/>
      <c r="H67" s="45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9.5" customHeight="1">
      <c r="A68" s="13"/>
      <c r="B68" s="13"/>
      <c r="C68" s="45"/>
      <c r="D68" s="45"/>
      <c r="E68" s="45"/>
      <c r="F68" s="45"/>
      <c r="G68" s="45"/>
      <c r="H68" s="45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9.5" customHeight="1">
      <c r="A69" s="13"/>
      <c r="B69" s="13"/>
      <c r="C69" s="45"/>
      <c r="D69" s="45"/>
      <c r="E69" s="45"/>
      <c r="F69" s="45"/>
      <c r="G69" s="45"/>
      <c r="H69" s="45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9.5" customHeight="1">
      <c r="A70" s="13"/>
      <c r="B70" s="13"/>
      <c r="C70" s="45"/>
      <c r="D70" s="45"/>
      <c r="E70" s="45"/>
      <c r="F70" s="45"/>
      <c r="G70" s="45"/>
      <c r="H70" s="45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9.5" customHeight="1">
      <c r="A71" s="13"/>
      <c r="B71" s="13"/>
      <c r="C71" s="45"/>
      <c r="D71" s="45"/>
      <c r="E71" s="45"/>
      <c r="F71" s="45"/>
      <c r="G71" s="45"/>
      <c r="H71" s="45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9.5" customHeight="1">
      <c r="A72" s="13"/>
      <c r="B72" s="13"/>
      <c r="C72" s="45"/>
      <c r="D72" s="45"/>
      <c r="E72" s="45"/>
      <c r="F72" s="45"/>
      <c r="G72" s="45"/>
      <c r="H72" s="45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9.5" customHeight="1">
      <c r="A73" s="13"/>
      <c r="B73" s="13"/>
      <c r="C73" s="45"/>
      <c r="D73" s="45"/>
      <c r="E73" s="45"/>
      <c r="F73" s="45"/>
      <c r="G73" s="45"/>
      <c r="H73" s="45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9.5" customHeight="1">
      <c r="A74" s="13"/>
      <c r="B74" s="13"/>
      <c r="C74" s="45"/>
      <c r="D74" s="45"/>
      <c r="E74" s="45"/>
      <c r="F74" s="45"/>
      <c r="G74" s="45"/>
      <c r="H74" s="45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9.5" customHeight="1">
      <c r="A75" s="13"/>
      <c r="B75" s="13"/>
      <c r="C75" s="45"/>
      <c r="D75" s="45"/>
      <c r="E75" s="45"/>
      <c r="F75" s="45"/>
      <c r="G75" s="45"/>
      <c r="H75" s="45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9.5" customHeight="1">
      <c r="A76" s="13"/>
      <c r="B76" s="13"/>
      <c r="C76" s="45"/>
      <c r="D76" s="45"/>
      <c r="E76" s="45"/>
      <c r="F76" s="45"/>
      <c r="G76" s="45"/>
      <c r="H76" s="45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9.5" customHeight="1">
      <c r="A77" s="13"/>
      <c r="B77" s="13"/>
      <c r="C77" s="45"/>
      <c r="D77" s="45"/>
      <c r="E77" s="45"/>
      <c r="F77" s="45"/>
      <c r="G77" s="45"/>
      <c r="H77" s="45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9.5" customHeight="1">
      <c r="A78" s="13"/>
      <c r="B78" s="13"/>
      <c r="C78" s="45"/>
      <c r="D78" s="45"/>
      <c r="E78" s="45"/>
      <c r="F78" s="45"/>
      <c r="G78" s="45"/>
      <c r="H78" s="45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9.5" customHeight="1">
      <c r="A79" s="13"/>
      <c r="B79" s="13"/>
      <c r="C79" s="45"/>
      <c r="D79" s="45"/>
      <c r="E79" s="45"/>
      <c r="F79" s="45"/>
      <c r="G79" s="45"/>
      <c r="H79" s="45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9.5" customHeight="1">
      <c r="A80" s="13"/>
      <c r="B80" s="13"/>
      <c r="C80" s="45"/>
      <c r="D80" s="45"/>
      <c r="E80" s="45"/>
      <c r="F80" s="45"/>
      <c r="G80" s="45"/>
      <c r="H80" s="45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9.5" customHeight="1">
      <c r="A81" s="13"/>
      <c r="B81" s="13"/>
      <c r="C81" s="45"/>
      <c r="D81" s="45"/>
      <c r="E81" s="45"/>
      <c r="F81" s="45"/>
      <c r="G81" s="45"/>
      <c r="H81" s="45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9.5" customHeight="1">
      <c r="A82" s="13"/>
      <c r="B82" s="13"/>
      <c r="C82" s="45"/>
      <c r="D82" s="45"/>
      <c r="E82" s="45"/>
      <c r="F82" s="45"/>
      <c r="G82" s="45"/>
      <c r="H82" s="45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9.5" customHeight="1">
      <c r="A83" s="13"/>
      <c r="B83" s="13"/>
      <c r="C83" s="45"/>
      <c r="D83" s="45"/>
      <c r="E83" s="45"/>
      <c r="F83" s="45"/>
      <c r="G83" s="45"/>
      <c r="H83" s="45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9.5" customHeight="1">
      <c r="A84" s="13"/>
      <c r="B84" s="13"/>
      <c r="C84" s="45"/>
      <c r="D84" s="45"/>
      <c r="E84" s="45"/>
      <c r="F84" s="45"/>
      <c r="G84" s="45"/>
      <c r="H84" s="45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9.5" customHeight="1">
      <c r="A85" s="13"/>
      <c r="B85" s="13"/>
      <c r="C85" s="45"/>
      <c r="D85" s="45"/>
      <c r="E85" s="45"/>
      <c r="F85" s="45"/>
      <c r="G85" s="45"/>
      <c r="H85" s="45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9.5" customHeight="1">
      <c r="A86" s="13"/>
      <c r="B86" s="13"/>
      <c r="C86" s="45"/>
      <c r="D86" s="45"/>
      <c r="E86" s="45"/>
      <c r="F86" s="45"/>
      <c r="G86" s="45"/>
      <c r="H86" s="45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9.5" customHeight="1">
      <c r="A87" s="13"/>
      <c r="B87" s="13"/>
      <c r="C87" s="45"/>
      <c r="D87" s="45"/>
      <c r="E87" s="45"/>
      <c r="F87" s="45"/>
      <c r="G87" s="45"/>
      <c r="H87" s="45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9.5" customHeight="1">
      <c r="A88" s="13"/>
      <c r="B88" s="13"/>
      <c r="C88" s="45"/>
      <c r="D88" s="45"/>
      <c r="E88" s="45"/>
      <c r="F88" s="45"/>
      <c r="G88" s="45"/>
      <c r="H88" s="45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9.5" customHeight="1">
      <c r="A89" s="13"/>
      <c r="B89" s="13"/>
      <c r="C89" s="45"/>
      <c r="D89" s="45"/>
      <c r="E89" s="45"/>
      <c r="F89" s="45"/>
      <c r="G89" s="45"/>
      <c r="H89" s="45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9.5" customHeight="1">
      <c r="A90" s="13"/>
      <c r="B90" s="13"/>
      <c r="C90" s="45"/>
      <c r="D90" s="45"/>
      <c r="E90" s="45"/>
      <c r="F90" s="45"/>
      <c r="G90" s="45"/>
      <c r="H90" s="45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9.5" customHeight="1">
      <c r="A91" s="13"/>
      <c r="B91" s="13"/>
      <c r="C91" s="45"/>
      <c r="D91" s="45"/>
      <c r="E91" s="45"/>
      <c r="F91" s="45"/>
      <c r="G91" s="45"/>
      <c r="H91" s="45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9.5" customHeight="1">
      <c r="A92" s="13"/>
      <c r="B92" s="13"/>
      <c r="C92" s="45"/>
      <c r="D92" s="45"/>
      <c r="E92" s="45"/>
      <c r="F92" s="45"/>
      <c r="G92" s="45"/>
      <c r="H92" s="45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9.5" customHeight="1">
      <c r="A93" s="13"/>
      <c r="B93" s="13"/>
      <c r="C93" s="45"/>
      <c r="D93" s="45"/>
      <c r="E93" s="45"/>
      <c r="F93" s="45"/>
      <c r="G93" s="45"/>
      <c r="H93" s="45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9.5" customHeight="1">
      <c r="A94" s="13"/>
      <c r="B94" s="13"/>
      <c r="C94" s="45"/>
      <c r="D94" s="45"/>
      <c r="E94" s="45"/>
      <c r="F94" s="45"/>
      <c r="G94" s="45"/>
      <c r="H94" s="45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9.5" customHeight="1">
      <c r="A95" s="13"/>
      <c r="B95" s="13"/>
      <c r="C95" s="45"/>
      <c r="D95" s="45"/>
      <c r="E95" s="45"/>
      <c r="F95" s="45"/>
      <c r="G95" s="45"/>
      <c r="H95" s="45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9.5" customHeight="1">
      <c r="A96" s="13"/>
      <c r="B96" s="13"/>
      <c r="C96" s="45"/>
      <c r="D96" s="45"/>
      <c r="E96" s="45"/>
      <c r="F96" s="45"/>
      <c r="G96" s="45"/>
      <c r="H96" s="45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9.5" customHeight="1">
      <c r="A97" s="13"/>
      <c r="B97" s="13"/>
      <c r="C97" s="45"/>
      <c r="D97" s="45"/>
      <c r="E97" s="45"/>
      <c r="F97" s="45"/>
      <c r="G97" s="45"/>
      <c r="H97" s="45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9.5" customHeight="1">
      <c r="A98" s="13"/>
      <c r="B98" s="13"/>
      <c r="C98" s="45"/>
      <c r="D98" s="45"/>
      <c r="E98" s="45"/>
      <c r="F98" s="45"/>
      <c r="G98" s="45"/>
      <c r="H98" s="45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9.5" customHeight="1">
      <c r="A99" s="13"/>
      <c r="B99" s="13"/>
      <c r="C99" s="45"/>
      <c r="D99" s="45"/>
      <c r="E99" s="45"/>
      <c r="F99" s="45"/>
      <c r="G99" s="45"/>
      <c r="H99" s="45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9.5" customHeight="1">
      <c r="A100" s="13"/>
      <c r="B100" s="13"/>
      <c r="C100" s="45"/>
      <c r="D100" s="45"/>
      <c r="E100" s="45"/>
      <c r="F100" s="45"/>
      <c r="G100" s="45"/>
      <c r="H100" s="45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9.5" customHeight="1">
      <c r="A101" s="13"/>
      <c r="B101" s="13"/>
      <c r="C101" s="45"/>
      <c r="D101" s="45"/>
      <c r="E101" s="45"/>
      <c r="F101" s="45"/>
      <c r="G101" s="45"/>
      <c r="H101" s="45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9.5" customHeight="1">
      <c r="A102" s="13"/>
      <c r="B102" s="13"/>
      <c r="C102" s="45"/>
      <c r="D102" s="45"/>
      <c r="E102" s="45"/>
      <c r="F102" s="45"/>
      <c r="G102" s="45"/>
      <c r="H102" s="45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9.5" customHeight="1">
      <c r="A103" s="13"/>
      <c r="B103" s="13"/>
      <c r="C103" s="45"/>
      <c r="D103" s="45"/>
      <c r="E103" s="45"/>
      <c r="F103" s="45"/>
      <c r="G103" s="45"/>
      <c r="H103" s="45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9.5" customHeight="1">
      <c r="A104" s="13"/>
      <c r="B104" s="13"/>
      <c r="C104" s="45"/>
      <c r="D104" s="45"/>
      <c r="E104" s="45"/>
      <c r="F104" s="45"/>
      <c r="G104" s="45"/>
      <c r="H104" s="45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9.5" customHeight="1">
      <c r="A105" s="13"/>
      <c r="B105" s="13"/>
      <c r="C105" s="45"/>
      <c r="D105" s="45"/>
      <c r="E105" s="45"/>
      <c r="F105" s="45"/>
      <c r="G105" s="45"/>
      <c r="H105" s="45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9.5" customHeight="1">
      <c r="A106" s="13"/>
      <c r="B106" s="13"/>
      <c r="C106" s="45"/>
      <c r="D106" s="45"/>
      <c r="E106" s="45"/>
      <c r="F106" s="45"/>
      <c r="G106" s="45"/>
      <c r="H106" s="45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9.5" customHeight="1">
      <c r="A107" s="13"/>
      <c r="B107" s="13"/>
      <c r="C107" s="45"/>
      <c r="D107" s="45"/>
      <c r="E107" s="45"/>
      <c r="F107" s="45"/>
      <c r="G107" s="45"/>
      <c r="H107" s="45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9.5" customHeight="1">
      <c r="A108" s="13"/>
      <c r="B108" s="13"/>
      <c r="C108" s="45"/>
      <c r="D108" s="45"/>
      <c r="E108" s="45"/>
      <c r="F108" s="45"/>
      <c r="G108" s="45"/>
      <c r="H108" s="45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9.5" customHeight="1">
      <c r="A109" s="13"/>
      <c r="B109" s="13"/>
      <c r="C109" s="45"/>
      <c r="D109" s="45"/>
      <c r="E109" s="45"/>
      <c r="F109" s="45"/>
      <c r="G109" s="45"/>
      <c r="H109" s="45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9.5" customHeight="1">
      <c r="A110" s="13"/>
      <c r="B110" s="13"/>
      <c r="C110" s="45"/>
      <c r="D110" s="45"/>
      <c r="E110" s="45"/>
      <c r="F110" s="45"/>
      <c r="G110" s="45"/>
      <c r="H110" s="45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9.5" customHeight="1">
      <c r="A111" s="13"/>
      <c r="B111" s="13"/>
      <c r="C111" s="45"/>
      <c r="D111" s="45"/>
      <c r="E111" s="45"/>
      <c r="F111" s="45"/>
      <c r="G111" s="45"/>
      <c r="H111" s="45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9.5" customHeight="1">
      <c r="A112" s="13"/>
      <c r="B112" s="13"/>
      <c r="C112" s="45"/>
      <c r="D112" s="45"/>
      <c r="E112" s="45"/>
      <c r="F112" s="45"/>
      <c r="G112" s="45"/>
      <c r="H112" s="45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9.5" customHeight="1">
      <c r="A113" s="13"/>
      <c r="B113" s="13"/>
      <c r="C113" s="45"/>
      <c r="D113" s="45"/>
      <c r="E113" s="45"/>
      <c r="F113" s="45"/>
      <c r="G113" s="45"/>
      <c r="H113" s="45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9.5" customHeight="1">
      <c r="A114" s="13"/>
      <c r="B114" s="13"/>
      <c r="C114" s="45"/>
      <c r="D114" s="45"/>
      <c r="E114" s="45"/>
      <c r="F114" s="45"/>
      <c r="G114" s="45"/>
      <c r="H114" s="45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9.5" customHeight="1">
      <c r="A115" s="13"/>
      <c r="B115" s="13"/>
      <c r="C115" s="45"/>
      <c r="D115" s="45"/>
      <c r="E115" s="45"/>
      <c r="F115" s="45"/>
      <c r="G115" s="45"/>
      <c r="H115" s="45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9.5" customHeight="1">
      <c r="A116" s="13"/>
      <c r="B116" s="13"/>
      <c r="C116" s="45"/>
      <c r="D116" s="45"/>
      <c r="E116" s="45"/>
      <c r="F116" s="45"/>
      <c r="G116" s="45"/>
      <c r="H116" s="45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9.5" customHeight="1">
      <c r="A117" s="13"/>
      <c r="B117" s="13"/>
      <c r="C117" s="45"/>
      <c r="D117" s="45"/>
      <c r="E117" s="45"/>
      <c r="F117" s="45"/>
      <c r="G117" s="45"/>
      <c r="H117" s="45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9.5" customHeight="1">
      <c r="A118" s="13"/>
      <c r="B118" s="13"/>
      <c r="C118" s="45"/>
      <c r="D118" s="45"/>
      <c r="E118" s="45"/>
      <c r="F118" s="45"/>
      <c r="G118" s="45"/>
      <c r="H118" s="45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9.5" customHeight="1">
      <c r="A119" s="13"/>
      <c r="B119" s="13"/>
      <c r="C119" s="45"/>
      <c r="D119" s="45"/>
      <c r="E119" s="45"/>
      <c r="F119" s="45"/>
      <c r="G119" s="45"/>
      <c r="H119" s="45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9.5" customHeight="1">
      <c r="A120" s="13"/>
      <c r="B120" s="13"/>
      <c r="C120" s="45"/>
      <c r="D120" s="45"/>
      <c r="E120" s="45"/>
      <c r="F120" s="45"/>
      <c r="G120" s="45"/>
      <c r="H120" s="45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9.5" customHeight="1">
      <c r="A121" s="13"/>
      <c r="B121" s="13"/>
      <c r="C121" s="45"/>
      <c r="D121" s="45"/>
      <c r="E121" s="45"/>
      <c r="F121" s="45"/>
      <c r="G121" s="45"/>
      <c r="H121" s="45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9.5" customHeight="1">
      <c r="A122" s="13"/>
      <c r="B122" s="13"/>
      <c r="C122" s="45"/>
      <c r="D122" s="45"/>
      <c r="E122" s="45"/>
      <c r="F122" s="45"/>
      <c r="G122" s="45"/>
      <c r="H122" s="45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9.5" customHeight="1">
      <c r="A123" s="13"/>
      <c r="B123" s="13"/>
      <c r="C123" s="45"/>
      <c r="D123" s="45"/>
      <c r="E123" s="45"/>
      <c r="F123" s="45"/>
      <c r="G123" s="45"/>
      <c r="H123" s="45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9.5" customHeight="1">
      <c r="A124" s="13"/>
      <c r="B124" s="13"/>
      <c r="C124" s="45"/>
      <c r="D124" s="45"/>
      <c r="E124" s="45"/>
      <c r="F124" s="45"/>
      <c r="G124" s="45"/>
      <c r="H124" s="45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9.5" customHeight="1">
      <c r="A125" s="13"/>
      <c r="B125" s="13"/>
      <c r="C125" s="45"/>
      <c r="D125" s="45"/>
      <c r="E125" s="45"/>
      <c r="F125" s="45"/>
      <c r="G125" s="45"/>
      <c r="H125" s="45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9.5" customHeight="1">
      <c r="A126" s="13"/>
      <c r="B126" s="13"/>
      <c r="C126" s="45"/>
      <c r="D126" s="45"/>
      <c r="E126" s="45"/>
      <c r="F126" s="45"/>
      <c r="G126" s="45"/>
      <c r="H126" s="45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9.5" customHeight="1">
      <c r="A127" s="13"/>
      <c r="B127" s="13"/>
      <c r="C127" s="45"/>
      <c r="D127" s="45"/>
      <c r="E127" s="45"/>
      <c r="F127" s="45"/>
      <c r="G127" s="45"/>
      <c r="H127" s="45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9.5" customHeight="1">
      <c r="A128" s="13"/>
      <c r="B128" s="13"/>
      <c r="C128" s="45"/>
      <c r="D128" s="45"/>
      <c r="E128" s="45"/>
      <c r="F128" s="45"/>
      <c r="G128" s="45"/>
      <c r="H128" s="45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9.5" customHeight="1">
      <c r="A129" s="13"/>
      <c r="B129" s="13"/>
      <c r="C129" s="45"/>
      <c r="D129" s="45"/>
      <c r="E129" s="45"/>
      <c r="F129" s="45"/>
      <c r="G129" s="45"/>
      <c r="H129" s="45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9.5" customHeight="1">
      <c r="A130" s="13"/>
      <c r="B130" s="13"/>
      <c r="C130" s="45"/>
      <c r="D130" s="45"/>
      <c r="E130" s="45"/>
      <c r="F130" s="45"/>
      <c r="G130" s="45"/>
      <c r="H130" s="45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9.5" customHeight="1">
      <c r="A131" s="13"/>
      <c r="B131" s="13"/>
      <c r="C131" s="45"/>
      <c r="D131" s="45"/>
      <c r="E131" s="45"/>
      <c r="F131" s="45"/>
      <c r="G131" s="45"/>
      <c r="H131" s="45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9.5" customHeight="1">
      <c r="A132" s="13"/>
      <c r="B132" s="13"/>
      <c r="C132" s="45"/>
      <c r="D132" s="45"/>
      <c r="E132" s="45"/>
      <c r="F132" s="45"/>
      <c r="G132" s="45"/>
      <c r="H132" s="45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9.5" customHeight="1">
      <c r="A133" s="13"/>
      <c r="B133" s="13"/>
      <c r="C133" s="45"/>
      <c r="D133" s="45"/>
      <c r="E133" s="45"/>
      <c r="F133" s="45"/>
      <c r="G133" s="45"/>
      <c r="H133" s="45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9.5" customHeight="1">
      <c r="A134" s="13"/>
      <c r="B134" s="13"/>
      <c r="C134" s="45"/>
      <c r="D134" s="45"/>
      <c r="E134" s="45"/>
      <c r="F134" s="45"/>
      <c r="G134" s="45"/>
      <c r="H134" s="45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9.5" customHeight="1">
      <c r="A135" s="13"/>
      <c r="B135" s="13"/>
      <c r="C135" s="45"/>
      <c r="D135" s="45"/>
      <c r="E135" s="45"/>
      <c r="F135" s="45"/>
      <c r="G135" s="45"/>
      <c r="H135" s="45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9.5" customHeight="1">
      <c r="A136" s="13"/>
      <c r="B136" s="13"/>
      <c r="C136" s="45"/>
      <c r="D136" s="45"/>
      <c r="E136" s="45"/>
      <c r="F136" s="45"/>
      <c r="G136" s="45"/>
      <c r="H136" s="45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9.5" customHeight="1">
      <c r="A137" s="13"/>
      <c r="B137" s="13"/>
      <c r="C137" s="45"/>
      <c r="D137" s="45"/>
      <c r="E137" s="45"/>
      <c r="F137" s="45"/>
      <c r="G137" s="45"/>
      <c r="H137" s="45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9.5" customHeight="1">
      <c r="A138" s="13"/>
      <c r="B138" s="13"/>
      <c r="C138" s="45"/>
      <c r="D138" s="45"/>
      <c r="E138" s="45"/>
      <c r="F138" s="45"/>
      <c r="G138" s="45"/>
      <c r="H138" s="45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9.5" customHeight="1">
      <c r="A139" s="13"/>
      <c r="B139" s="13"/>
      <c r="C139" s="45"/>
      <c r="D139" s="45"/>
      <c r="E139" s="45"/>
      <c r="F139" s="45"/>
      <c r="G139" s="45"/>
      <c r="H139" s="45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9.5" customHeight="1">
      <c r="A140" s="13"/>
      <c r="B140" s="13"/>
      <c r="C140" s="45"/>
      <c r="D140" s="45"/>
      <c r="E140" s="45"/>
      <c r="F140" s="45"/>
      <c r="G140" s="45"/>
      <c r="H140" s="45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9.5" customHeight="1">
      <c r="A141" s="13"/>
      <c r="B141" s="13"/>
      <c r="C141" s="45"/>
      <c r="D141" s="45"/>
      <c r="E141" s="45"/>
      <c r="F141" s="45"/>
      <c r="G141" s="45"/>
      <c r="H141" s="45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9.5" customHeight="1">
      <c r="A142" s="13"/>
      <c r="B142" s="13"/>
      <c r="C142" s="45"/>
      <c r="D142" s="45"/>
      <c r="E142" s="45"/>
      <c r="F142" s="45"/>
      <c r="G142" s="45"/>
      <c r="H142" s="45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9.5" customHeight="1">
      <c r="A143" s="13"/>
      <c r="B143" s="13"/>
      <c r="C143" s="45"/>
      <c r="D143" s="45"/>
      <c r="E143" s="45"/>
      <c r="F143" s="45"/>
      <c r="G143" s="45"/>
      <c r="H143" s="45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9.5" customHeight="1">
      <c r="A144" s="13"/>
      <c r="B144" s="13"/>
      <c r="C144" s="45"/>
      <c r="D144" s="45"/>
      <c r="E144" s="45"/>
      <c r="F144" s="45"/>
      <c r="G144" s="45"/>
      <c r="H144" s="45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9.5" customHeight="1">
      <c r="A145" s="13"/>
      <c r="B145" s="13"/>
      <c r="C145" s="45"/>
      <c r="D145" s="45"/>
      <c r="E145" s="45"/>
      <c r="F145" s="45"/>
      <c r="G145" s="45"/>
      <c r="H145" s="45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9.5" customHeight="1">
      <c r="A146" s="13"/>
      <c r="B146" s="13"/>
      <c r="C146" s="45"/>
      <c r="D146" s="45"/>
      <c r="E146" s="45"/>
      <c r="F146" s="45"/>
      <c r="G146" s="45"/>
      <c r="H146" s="45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9.5" customHeight="1">
      <c r="A147" s="13"/>
      <c r="B147" s="13"/>
      <c r="C147" s="45"/>
      <c r="D147" s="45"/>
      <c r="E147" s="45"/>
      <c r="F147" s="45"/>
      <c r="G147" s="45"/>
      <c r="H147" s="45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9.5" customHeight="1">
      <c r="A148" s="13"/>
      <c r="B148" s="13"/>
      <c r="C148" s="45"/>
      <c r="D148" s="45"/>
      <c r="E148" s="45"/>
      <c r="F148" s="45"/>
      <c r="G148" s="45"/>
      <c r="H148" s="45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9.5" customHeight="1">
      <c r="A149" s="13"/>
      <c r="B149" s="13"/>
      <c r="C149" s="45"/>
      <c r="D149" s="45"/>
      <c r="E149" s="45"/>
      <c r="F149" s="45"/>
      <c r="G149" s="45"/>
      <c r="H149" s="45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9.5" customHeight="1">
      <c r="A150" s="13"/>
      <c r="B150" s="13"/>
      <c r="C150" s="45"/>
      <c r="D150" s="45"/>
      <c r="E150" s="45"/>
      <c r="F150" s="45"/>
      <c r="G150" s="45"/>
      <c r="H150" s="45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9.5" customHeight="1">
      <c r="A151" s="13"/>
      <c r="B151" s="13"/>
      <c r="C151" s="45"/>
      <c r="D151" s="45"/>
      <c r="E151" s="45"/>
      <c r="F151" s="45"/>
      <c r="G151" s="45"/>
      <c r="H151" s="45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9.5" customHeight="1">
      <c r="A152" s="13"/>
      <c r="B152" s="13"/>
      <c r="C152" s="45"/>
      <c r="D152" s="45"/>
      <c r="E152" s="45"/>
      <c r="F152" s="45"/>
      <c r="G152" s="45"/>
      <c r="H152" s="45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9.5" customHeight="1">
      <c r="A153" s="13"/>
      <c r="B153" s="13"/>
      <c r="C153" s="45"/>
      <c r="D153" s="45"/>
      <c r="E153" s="45"/>
      <c r="F153" s="45"/>
      <c r="G153" s="45"/>
      <c r="H153" s="45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9.5" customHeight="1">
      <c r="A154" s="13"/>
      <c r="B154" s="13"/>
      <c r="C154" s="45"/>
      <c r="D154" s="45"/>
      <c r="E154" s="45"/>
      <c r="F154" s="45"/>
      <c r="G154" s="45"/>
      <c r="H154" s="45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9.5" customHeight="1">
      <c r="A155" s="13"/>
      <c r="B155" s="13"/>
      <c r="C155" s="45"/>
      <c r="D155" s="45"/>
      <c r="E155" s="45"/>
      <c r="F155" s="45"/>
      <c r="G155" s="45"/>
      <c r="H155" s="45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9.5" customHeight="1">
      <c r="A156" s="13"/>
      <c r="B156" s="13"/>
      <c r="C156" s="45"/>
      <c r="D156" s="45"/>
      <c r="E156" s="45"/>
      <c r="F156" s="45"/>
      <c r="G156" s="45"/>
      <c r="H156" s="45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9.5" customHeight="1">
      <c r="A157" s="13"/>
      <c r="B157" s="13"/>
      <c r="C157" s="45"/>
      <c r="D157" s="45"/>
      <c r="E157" s="45"/>
      <c r="F157" s="45"/>
      <c r="G157" s="45"/>
      <c r="H157" s="45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9.5" customHeight="1">
      <c r="A158" s="13"/>
      <c r="B158" s="13"/>
      <c r="C158" s="45"/>
      <c r="D158" s="45"/>
      <c r="E158" s="45"/>
      <c r="F158" s="45"/>
      <c r="G158" s="45"/>
      <c r="H158" s="45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9.5" customHeight="1">
      <c r="A159" s="13"/>
      <c r="B159" s="13"/>
      <c r="C159" s="45"/>
      <c r="D159" s="45"/>
      <c r="E159" s="45"/>
      <c r="F159" s="45"/>
      <c r="G159" s="45"/>
      <c r="H159" s="45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9.5" customHeight="1">
      <c r="A160" s="13"/>
      <c r="B160" s="13"/>
      <c r="C160" s="45"/>
      <c r="D160" s="45"/>
      <c r="E160" s="45"/>
      <c r="F160" s="45"/>
      <c r="G160" s="45"/>
      <c r="H160" s="45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9.5" customHeight="1">
      <c r="A161" s="13"/>
      <c r="B161" s="13"/>
      <c r="C161" s="45"/>
      <c r="D161" s="45"/>
      <c r="E161" s="45"/>
      <c r="F161" s="45"/>
      <c r="G161" s="45"/>
      <c r="H161" s="45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9.5" customHeight="1">
      <c r="A162" s="13"/>
      <c r="B162" s="13"/>
      <c r="C162" s="45"/>
      <c r="D162" s="45"/>
      <c r="E162" s="45"/>
      <c r="F162" s="45"/>
      <c r="G162" s="45"/>
      <c r="H162" s="45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9.5" customHeight="1">
      <c r="A163" s="13"/>
      <c r="B163" s="13"/>
      <c r="C163" s="45"/>
      <c r="D163" s="45"/>
      <c r="E163" s="45"/>
      <c r="F163" s="45"/>
      <c r="G163" s="45"/>
      <c r="H163" s="45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9.5" customHeight="1">
      <c r="A164" s="13"/>
      <c r="B164" s="13"/>
      <c r="C164" s="45"/>
      <c r="D164" s="45"/>
      <c r="E164" s="45"/>
      <c r="F164" s="45"/>
      <c r="G164" s="45"/>
      <c r="H164" s="45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9.5" customHeight="1">
      <c r="A165" s="13"/>
      <c r="B165" s="13"/>
      <c r="C165" s="45"/>
      <c r="D165" s="45"/>
      <c r="E165" s="45"/>
      <c r="F165" s="45"/>
      <c r="G165" s="45"/>
      <c r="H165" s="45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9.5" customHeight="1">
      <c r="A166" s="13"/>
      <c r="B166" s="13"/>
      <c r="C166" s="45"/>
      <c r="D166" s="45"/>
      <c r="E166" s="45"/>
      <c r="F166" s="45"/>
      <c r="G166" s="45"/>
      <c r="H166" s="45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9.5" customHeight="1">
      <c r="A167" s="13"/>
      <c r="B167" s="13"/>
      <c r="C167" s="45"/>
      <c r="D167" s="45"/>
      <c r="E167" s="45"/>
      <c r="F167" s="45"/>
      <c r="G167" s="45"/>
      <c r="H167" s="45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9.5" customHeight="1">
      <c r="A168" s="13"/>
      <c r="B168" s="13"/>
      <c r="C168" s="45"/>
      <c r="D168" s="45"/>
      <c r="E168" s="45"/>
      <c r="F168" s="45"/>
      <c r="G168" s="45"/>
      <c r="H168" s="45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9.5" customHeight="1">
      <c r="A169" s="13"/>
      <c r="B169" s="13"/>
      <c r="C169" s="45"/>
      <c r="D169" s="45"/>
      <c r="E169" s="45"/>
      <c r="F169" s="45"/>
      <c r="G169" s="45"/>
      <c r="H169" s="45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9.5" customHeight="1">
      <c r="A170" s="13"/>
      <c r="B170" s="13"/>
      <c r="C170" s="45"/>
      <c r="D170" s="45"/>
      <c r="E170" s="45"/>
      <c r="F170" s="45"/>
      <c r="G170" s="45"/>
      <c r="H170" s="45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9.5" customHeight="1">
      <c r="A171" s="13"/>
      <c r="B171" s="13"/>
      <c r="C171" s="45"/>
      <c r="D171" s="45"/>
      <c r="E171" s="45"/>
      <c r="F171" s="45"/>
      <c r="G171" s="45"/>
      <c r="H171" s="45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9.5" customHeight="1">
      <c r="A172" s="13"/>
      <c r="B172" s="13"/>
      <c r="C172" s="45"/>
      <c r="D172" s="45"/>
      <c r="E172" s="45"/>
      <c r="F172" s="45"/>
      <c r="G172" s="45"/>
      <c r="H172" s="45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9.5" customHeight="1">
      <c r="A173" s="13"/>
      <c r="B173" s="13"/>
      <c r="C173" s="45"/>
      <c r="D173" s="45"/>
      <c r="E173" s="45"/>
      <c r="F173" s="45"/>
      <c r="G173" s="45"/>
      <c r="H173" s="45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9.5" customHeight="1">
      <c r="A174" s="13"/>
      <c r="B174" s="13"/>
      <c r="C174" s="45"/>
      <c r="D174" s="45"/>
      <c r="E174" s="45"/>
      <c r="F174" s="45"/>
      <c r="G174" s="45"/>
      <c r="H174" s="45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9.5" customHeight="1">
      <c r="A175" s="13"/>
      <c r="B175" s="13"/>
      <c r="C175" s="45"/>
      <c r="D175" s="45"/>
      <c r="E175" s="45"/>
      <c r="F175" s="45"/>
      <c r="G175" s="45"/>
      <c r="H175" s="45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9.5" customHeight="1">
      <c r="A176" s="13"/>
      <c r="B176" s="13"/>
      <c r="C176" s="45"/>
      <c r="D176" s="45"/>
      <c r="E176" s="45"/>
      <c r="F176" s="45"/>
      <c r="G176" s="45"/>
      <c r="H176" s="45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9.5" customHeight="1">
      <c r="A177" s="13"/>
      <c r="B177" s="13"/>
      <c r="C177" s="45"/>
      <c r="D177" s="45"/>
      <c r="E177" s="45"/>
      <c r="F177" s="45"/>
      <c r="G177" s="45"/>
      <c r="H177" s="45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9.5" customHeight="1">
      <c r="A178" s="13"/>
      <c r="B178" s="13"/>
      <c r="C178" s="45"/>
      <c r="D178" s="45"/>
      <c r="E178" s="45"/>
      <c r="F178" s="45"/>
      <c r="G178" s="45"/>
      <c r="H178" s="45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9.5" customHeight="1">
      <c r="A179" s="13"/>
      <c r="B179" s="13"/>
      <c r="C179" s="45"/>
      <c r="D179" s="45"/>
      <c r="E179" s="45"/>
      <c r="F179" s="45"/>
      <c r="G179" s="45"/>
      <c r="H179" s="45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9.5" customHeight="1">
      <c r="A180" s="13"/>
      <c r="B180" s="13"/>
      <c r="C180" s="45"/>
      <c r="D180" s="45"/>
      <c r="E180" s="45"/>
      <c r="F180" s="45"/>
      <c r="G180" s="45"/>
      <c r="H180" s="45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9.5" customHeight="1">
      <c r="A181" s="13"/>
      <c r="B181" s="13"/>
      <c r="C181" s="45"/>
      <c r="D181" s="45"/>
      <c r="E181" s="45"/>
      <c r="F181" s="45"/>
      <c r="G181" s="45"/>
      <c r="H181" s="45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9.5" customHeight="1">
      <c r="A182" s="13"/>
      <c r="B182" s="13"/>
      <c r="C182" s="45"/>
      <c r="D182" s="45"/>
      <c r="E182" s="45"/>
      <c r="F182" s="45"/>
      <c r="G182" s="45"/>
      <c r="H182" s="45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9.5" customHeight="1">
      <c r="A183" s="13"/>
      <c r="B183" s="13"/>
      <c r="C183" s="45"/>
      <c r="D183" s="45"/>
      <c r="E183" s="45"/>
      <c r="F183" s="45"/>
      <c r="G183" s="45"/>
      <c r="H183" s="45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9.5" customHeight="1">
      <c r="A184" s="13"/>
      <c r="B184" s="13"/>
      <c r="C184" s="45"/>
      <c r="D184" s="45"/>
      <c r="E184" s="45"/>
      <c r="F184" s="45"/>
      <c r="G184" s="45"/>
      <c r="H184" s="45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9.5" customHeight="1">
      <c r="A185" s="13"/>
      <c r="B185" s="13"/>
      <c r="C185" s="45"/>
      <c r="D185" s="45"/>
      <c r="E185" s="45"/>
      <c r="F185" s="45"/>
      <c r="G185" s="45"/>
      <c r="H185" s="45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9.5" customHeight="1">
      <c r="A186" s="13"/>
      <c r="B186" s="13"/>
      <c r="C186" s="45"/>
      <c r="D186" s="45"/>
      <c r="E186" s="45"/>
      <c r="F186" s="45"/>
      <c r="G186" s="45"/>
      <c r="H186" s="45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9.5" customHeight="1">
      <c r="A187" s="13"/>
      <c r="B187" s="13"/>
      <c r="C187" s="45"/>
      <c r="D187" s="45"/>
      <c r="E187" s="45"/>
      <c r="F187" s="45"/>
      <c r="G187" s="45"/>
      <c r="H187" s="45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9.5" customHeight="1">
      <c r="A188" s="13"/>
      <c r="B188" s="13"/>
      <c r="C188" s="45"/>
      <c r="D188" s="45"/>
      <c r="E188" s="45"/>
      <c r="F188" s="45"/>
      <c r="G188" s="45"/>
      <c r="H188" s="45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9.5" customHeight="1">
      <c r="A189" s="13"/>
      <c r="B189" s="13"/>
      <c r="C189" s="45"/>
      <c r="D189" s="45"/>
      <c r="E189" s="45"/>
      <c r="F189" s="45"/>
      <c r="G189" s="45"/>
      <c r="H189" s="45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9.5" customHeight="1">
      <c r="A190" s="13"/>
      <c r="B190" s="13"/>
      <c r="C190" s="45"/>
      <c r="D190" s="45"/>
      <c r="E190" s="45"/>
      <c r="F190" s="45"/>
      <c r="G190" s="45"/>
      <c r="H190" s="45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9.5" customHeight="1">
      <c r="A191" s="13"/>
      <c r="B191" s="13"/>
      <c r="C191" s="45"/>
      <c r="D191" s="45"/>
      <c r="E191" s="45"/>
      <c r="F191" s="45"/>
      <c r="G191" s="45"/>
      <c r="H191" s="45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9.5" customHeight="1">
      <c r="A192" s="13"/>
      <c r="B192" s="13"/>
      <c r="C192" s="45"/>
      <c r="D192" s="45"/>
      <c r="E192" s="45"/>
      <c r="F192" s="45"/>
      <c r="G192" s="45"/>
      <c r="H192" s="45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9.5" customHeight="1">
      <c r="A193" s="13"/>
      <c r="B193" s="13"/>
      <c r="C193" s="45"/>
      <c r="D193" s="45"/>
      <c r="E193" s="45"/>
      <c r="F193" s="45"/>
      <c r="G193" s="45"/>
      <c r="H193" s="45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9.5" customHeight="1">
      <c r="A194" s="13"/>
      <c r="B194" s="13"/>
      <c r="C194" s="45"/>
      <c r="D194" s="45"/>
      <c r="E194" s="45"/>
      <c r="F194" s="45"/>
      <c r="G194" s="45"/>
      <c r="H194" s="45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9.5" customHeight="1">
      <c r="A195" s="13"/>
      <c r="B195" s="13"/>
      <c r="C195" s="45"/>
      <c r="D195" s="45"/>
      <c r="E195" s="45"/>
      <c r="F195" s="45"/>
      <c r="G195" s="45"/>
      <c r="H195" s="45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9.5" customHeight="1">
      <c r="A196" s="13"/>
      <c r="B196" s="13"/>
      <c r="C196" s="45"/>
      <c r="D196" s="45"/>
      <c r="E196" s="45"/>
      <c r="F196" s="45"/>
      <c r="G196" s="45"/>
      <c r="H196" s="45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9.5" customHeight="1">
      <c r="A197" s="13"/>
      <c r="B197" s="13"/>
      <c r="C197" s="45"/>
      <c r="D197" s="45"/>
      <c r="E197" s="45"/>
      <c r="F197" s="45"/>
      <c r="G197" s="45"/>
      <c r="H197" s="45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9.5" customHeight="1">
      <c r="A198" s="13"/>
      <c r="B198" s="13"/>
      <c r="C198" s="45"/>
      <c r="D198" s="45"/>
      <c r="E198" s="45"/>
      <c r="F198" s="45"/>
      <c r="G198" s="45"/>
      <c r="H198" s="45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9.5" customHeight="1">
      <c r="A199" s="13"/>
      <c r="B199" s="13"/>
      <c r="C199" s="45"/>
      <c r="D199" s="45"/>
      <c r="E199" s="45"/>
      <c r="F199" s="45"/>
      <c r="G199" s="45"/>
      <c r="H199" s="45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9.5" customHeight="1">
      <c r="A200" s="13"/>
      <c r="B200" s="13"/>
      <c r="C200" s="45"/>
      <c r="D200" s="45"/>
      <c r="E200" s="45"/>
      <c r="F200" s="45"/>
      <c r="G200" s="45"/>
      <c r="H200" s="45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9.5" customHeight="1">
      <c r="A201" s="13"/>
      <c r="B201" s="13"/>
      <c r="C201" s="45"/>
      <c r="D201" s="45"/>
      <c r="E201" s="45"/>
      <c r="F201" s="45"/>
      <c r="G201" s="45"/>
      <c r="H201" s="45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9.5" customHeight="1">
      <c r="A202" s="13"/>
      <c r="B202" s="13"/>
      <c r="C202" s="45"/>
      <c r="D202" s="45"/>
      <c r="E202" s="45"/>
      <c r="F202" s="45"/>
      <c r="G202" s="45"/>
      <c r="H202" s="45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9.5" customHeight="1">
      <c r="A203" s="13"/>
      <c r="B203" s="13"/>
      <c r="C203" s="45"/>
      <c r="D203" s="45"/>
      <c r="E203" s="45"/>
      <c r="F203" s="45"/>
      <c r="G203" s="45"/>
      <c r="H203" s="45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9.5" customHeight="1">
      <c r="A204" s="13"/>
      <c r="B204" s="13"/>
      <c r="C204" s="45"/>
      <c r="D204" s="45"/>
      <c r="E204" s="45"/>
      <c r="F204" s="45"/>
      <c r="G204" s="45"/>
      <c r="H204" s="45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9.5" customHeight="1">
      <c r="A205" s="13"/>
      <c r="B205" s="13"/>
      <c r="C205" s="45"/>
      <c r="D205" s="45"/>
      <c r="E205" s="45"/>
      <c r="F205" s="45"/>
      <c r="G205" s="45"/>
      <c r="H205" s="45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9.5" customHeight="1">
      <c r="A206" s="13"/>
      <c r="B206" s="13"/>
      <c r="C206" s="45"/>
      <c r="D206" s="45"/>
      <c r="E206" s="45"/>
      <c r="F206" s="45"/>
      <c r="G206" s="45"/>
      <c r="H206" s="45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9.5" customHeight="1">
      <c r="A207" s="13"/>
      <c r="B207" s="13"/>
      <c r="C207" s="45"/>
      <c r="D207" s="45"/>
      <c r="E207" s="45"/>
      <c r="F207" s="45"/>
      <c r="G207" s="45"/>
      <c r="H207" s="45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9.5" customHeight="1">
      <c r="A208" s="13"/>
      <c r="B208" s="13"/>
      <c r="C208" s="45"/>
      <c r="D208" s="45"/>
      <c r="E208" s="45"/>
      <c r="F208" s="45"/>
      <c r="G208" s="45"/>
      <c r="H208" s="45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9.5" customHeight="1">
      <c r="A209" s="13"/>
      <c r="B209" s="13"/>
      <c r="C209" s="45"/>
      <c r="D209" s="45"/>
      <c r="E209" s="45"/>
      <c r="F209" s="45"/>
      <c r="G209" s="45"/>
      <c r="H209" s="45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9.5" customHeight="1">
      <c r="A210" s="13"/>
      <c r="B210" s="13"/>
      <c r="C210" s="45"/>
      <c r="D210" s="45"/>
      <c r="E210" s="45"/>
      <c r="F210" s="45"/>
      <c r="G210" s="45"/>
      <c r="H210" s="45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9.5" customHeight="1">
      <c r="A211" s="13"/>
      <c r="B211" s="13"/>
      <c r="C211" s="45"/>
      <c r="D211" s="45"/>
      <c r="E211" s="45"/>
      <c r="F211" s="45"/>
      <c r="G211" s="45"/>
      <c r="H211" s="45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9.5" customHeight="1">
      <c r="A212" s="13"/>
      <c r="B212" s="13"/>
      <c r="C212" s="45"/>
      <c r="D212" s="45"/>
      <c r="E212" s="45"/>
      <c r="F212" s="45"/>
      <c r="G212" s="45"/>
      <c r="H212" s="45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9.5" customHeight="1">
      <c r="A213" s="13"/>
      <c r="B213" s="13"/>
      <c r="C213" s="45"/>
      <c r="D213" s="45"/>
      <c r="E213" s="45"/>
      <c r="F213" s="45"/>
      <c r="G213" s="45"/>
      <c r="H213" s="45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9.5" customHeight="1">
      <c r="A214" s="13"/>
      <c r="B214" s="13"/>
      <c r="C214" s="45"/>
      <c r="D214" s="45"/>
      <c r="E214" s="45"/>
      <c r="F214" s="45"/>
      <c r="G214" s="45"/>
      <c r="H214" s="45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9.5" customHeight="1">
      <c r="A215" s="13"/>
      <c r="B215" s="13"/>
      <c r="C215" s="45"/>
      <c r="D215" s="45"/>
      <c r="E215" s="45"/>
      <c r="F215" s="45"/>
      <c r="G215" s="45"/>
      <c r="H215" s="45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9.5" customHeight="1">
      <c r="A216" s="13"/>
      <c r="B216" s="13"/>
      <c r="C216" s="45"/>
      <c r="D216" s="45"/>
      <c r="E216" s="45"/>
      <c r="F216" s="45"/>
      <c r="G216" s="45"/>
      <c r="H216" s="45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9.5" customHeight="1">
      <c r="A217" s="13"/>
      <c r="B217" s="13"/>
      <c r="C217" s="45"/>
      <c r="D217" s="45"/>
      <c r="E217" s="45"/>
      <c r="F217" s="45"/>
      <c r="G217" s="45"/>
      <c r="H217" s="45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9.5" customHeight="1">
      <c r="A218" s="13"/>
      <c r="B218" s="13"/>
      <c r="C218" s="45"/>
      <c r="D218" s="45"/>
      <c r="E218" s="45"/>
      <c r="F218" s="45"/>
      <c r="G218" s="45"/>
      <c r="H218" s="45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9.5" customHeight="1">
      <c r="A219" s="13"/>
      <c r="B219" s="13"/>
      <c r="C219" s="45"/>
      <c r="D219" s="45"/>
      <c r="E219" s="45"/>
      <c r="F219" s="45"/>
      <c r="G219" s="45"/>
      <c r="H219" s="45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9.5" customHeight="1">
      <c r="A220" s="13"/>
      <c r="B220" s="13"/>
      <c r="C220" s="45"/>
      <c r="D220" s="45"/>
      <c r="E220" s="45"/>
      <c r="F220" s="45"/>
      <c r="G220" s="45"/>
      <c r="H220" s="45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9.5" customHeight="1">
      <c r="A221" s="13"/>
      <c r="B221" s="13"/>
      <c r="C221" s="45"/>
      <c r="D221" s="45"/>
      <c r="E221" s="45"/>
      <c r="F221" s="45"/>
      <c r="G221" s="45"/>
      <c r="H221" s="45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9.5" customHeight="1">
      <c r="A222" s="13"/>
      <c r="B222" s="13"/>
      <c r="C222" s="45"/>
      <c r="D222" s="45"/>
      <c r="E222" s="45"/>
      <c r="F222" s="45"/>
      <c r="G222" s="45"/>
      <c r="H222" s="45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9.5" customHeight="1">
      <c r="A223" s="13"/>
      <c r="B223" s="13"/>
      <c r="C223" s="45"/>
      <c r="D223" s="45"/>
      <c r="E223" s="45"/>
      <c r="F223" s="45"/>
      <c r="G223" s="45"/>
      <c r="H223" s="45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9.5" customHeight="1">
      <c r="A224" s="13"/>
      <c r="B224" s="13"/>
      <c r="C224" s="45"/>
      <c r="D224" s="45"/>
      <c r="E224" s="45"/>
      <c r="F224" s="45"/>
      <c r="G224" s="45"/>
      <c r="H224" s="45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9.5" customHeight="1">
      <c r="A225" s="13"/>
      <c r="B225" s="13"/>
      <c r="C225" s="45"/>
      <c r="D225" s="45"/>
      <c r="E225" s="45"/>
      <c r="F225" s="45"/>
      <c r="G225" s="45"/>
      <c r="H225" s="45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/>
    <row r="227" spans="1:26" ht="15.75" customHeight="1"/>
    <row r="228" spans="1:26" ht="15.75" customHeight="1"/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B28:I28"/>
    <mergeCell ref="B2:I2"/>
    <mergeCell ref="C5:H5"/>
    <mergeCell ref="C13:H14"/>
    <mergeCell ref="D18:E18"/>
    <mergeCell ref="C21:H22"/>
  </mergeCells>
  <pageMargins left="0.78740157499999996" right="0.78740157499999996" top="0.984251969" bottom="0.984251969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RESCISÃO</vt:lpstr>
      <vt:lpstr>TABELAS</vt:lpstr>
      <vt:lpstr>RESCISÃO!Area_de_impressao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Nepomuceno</dc:creator>
  <cp:lastModifiedBy>Bruno Nepomuceno</cp:lastModifiedBy>
  <cp:lastPrinted>2026-02-06T17:08:17Z</cp:lastPrinted>
  <dcterms:created xsi:type="dcterms:W3CDTF">2025-10-23T21:07:23Z</dcterms:created>
  <dcterms:modified xsi:type="dcterms:W3CDTF">2026-02-26T20:42:04Z</dcterms:modified>
</cp:coreProperties>
</file>